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ilid\RTK\Kasutajad\Lia.Hussar\personal\RETA2024\"/>
    </mc:Choice>
  </mc:AlternateContent>
  <xr:revisionPtr revIDLastSave="33" documentId="13_ncr:1_{5D9A9505-1DD2-4B68-B267-64E20940944E}" xr6:coauthVersionLast="47" xr6:coauthVersionMax="47" xr10:uidLastSave="{264C843E-F992-49A3-809A-476FEB013347}"/>
  <bookViews>
    <workbookView xWindow="-110" yWindow="-110" windowWidth="19420" windowHeight="10420" xr2:uid="{4D1749CD-7348-40E3-9063-2FA36ECE44CB}"/>
  </bookViews>
  <sheets>
    <sheet name="aruanne" sheetId="1" r:id="rId1"/>
    <sheet name="vordlus" sheetId="2" r:id="rId2"/>
    <sheet name="lisa1" sheetId="4" r:id="rId3"/>
  </sheets>
  <definedNames>
    <definedName name="_xlnm._FilterDatabase" localSheetId="1" hidden="1">vordlus!$A$4:$J$19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8" i="1" l="1"/>
  <c r="C13" i="2"/>
  <c r="C5" i="2" l="1"/>
  <c r="E106" i="1"/>
  <c r="D94" i="1"/>
  <c r="D30" i="1"/>
  <c r="E86" i="1" l="1"/>
  <c r="E99" i="1"/>
  <c r="E100" i="1" l="1"/>
  <c r="D99" i="1"/>
  <c r="D97" i="1"/>
  <c r="D100" i="1"/>
  <c r="D98" i="1" l="1"/>
  <c r="D96" i="1"/>
  <c r="D92" i="1"/>
  <c r="D90" i="1"/>
  <c r="D88" i="1"/>
  <c r="D86" i="1"/>
  <c r="D84" i="1"/>
  <c r="D72" i="1"/>
  <c r="D80" i="1"/>
  <c r="D78" i="1"/>
  <c r="D76" i="1"/>
  <c r="D74" i="1"/>
  <c r="D68" i="1"/>
  <c r="D66" i="1"/>
  <c r="D64" i="1"/>
  <c r="D62" i="1"/>
  <c r="D56" i="1"/>
  <c r="D48" i="1"/>
  <c r="D46" i="1"/>
  <c r="D44" i="1"/>
  <c r="D42" i="1"/>
  <c r="D40" i="1"/>
  <c r="D36" i="1"/>
  <c r="D34" i="1"/>
  <c r="D28" i="1"/>
  <c r="D24" i="1"/>
  <c r="D22" i="1"/>
  <c r="D95" i="1" l="1"/>
  <c r="D93" i="1"/>
  <c r="D91" i="1"/>
  <c r="D89" i="1"/>
  <c r="D87" i="1"/>
  <c r="D85" i="1"/>
  <c r="D83" i="1"/>
  <c r="D71" i="1"/>
  <c r="D79" i="1"/>
  <c r="D77" i="1"/>
  <c r="D75" i="1"/>
  <c r="D73" i="1"/>
  <c r="D67" i="1"/>
  <c r="D65" i="1"/>
  <c r="D63" i="1"/>
  <c r="D61" i="1"/>
  <c r="D55" i="1"/>
  <c r="D47" i="1"/>
  <c r="D45" i="1"/>
  <c r="D43" i="1"/>
  <c r="D41" i="1"/>
  <c r="D39" i="1"/>
  <c r="D35" i="1"/>
  <c r="D33" i="1"/>
  <c r="D29" i="1"/>
  <c r="D27" i="1"/>
  <c r="D23" i="1"/>
  <c r="D21" i="1"/>
  <c r="D104" i="1" l="1"/>
  <c r="E8" i="1" l="1"/>
  <c r="E117" i="1" l="1"/>
  <c r="E116" i="1"/>
  <c r="E105" i="1" l="1"/>
  <c r="D102" i="1"/>
  <c r="D101" i="1"/>
  <c r="E7" i="1" l="1"/>
  <c r="E10" i="1"/>
  <c r="C10" i="2"/>
  <c r="E102" i="1"/>
  <c r="G3" i="2" l="1"/>
  <c r="C3" i="2" l="1"/>
  <c r="D103" i="1" l="1"/>
  <c r="D19" i="1" l="1"/>
  <c r="C15" i="4"/>
  <c r="D54" i="1" l="1"/>
  <c r="D53" i="1"/>
  <c r="D52" i="1"/>
  <c r="D51" i="1"/>
  <c r="D20" i="1"/>
  <c r="D18" i="1"/>
  <c r="D17" i="1"/>
  <c r="D10" i="1"/>
  <c r="D9" i="1"/>
  <c r="D8" i="1"/>
  <c r="D7" i="1"/>
  <c r="F117" i="1" l="1"/>
  <c r="F111" i="1"/>
  <c r="F102" i="1"/>
  <c r="F100" i="1"/>
  <c r="F82" i="1" s="1"/>
  <c r="F99" i="1"/>
  <c r="F93" i="1"/>
  <c r="F70" i="1"/>
  <c r="F69" i="1"/>
  <c r="F60" i="1"/>
  <c r="F59" i="1"/>
  <c r="F50" i="1"/>
  <c r="F49" i="1"/>
  <c r="F38" i="1"/>
  <c r="F37" i="1"/>
  <c r="F32" i="1"/>
  <c r="F31" i="1"/>
  <c r="F26" i="1"/>
  <c r="F25" i="1"/>
  <c r="F16" i="1"/>
  <c r="F15" i="1"/>
  <c r="F8" i="1"/>
  <c r="F7" i="1"/>
  <c r="F13" i="1" l="1"/>
  <c r="F105" i="1"/>
  <c r="F81" i="1"/>
  <c r="F57" i="1" s="1"/>
  <c r="F5" i="1"/>
  <c r="F14" i="1"/>
  <c r="F58" i="1"/>
  <c r="F12" i="1" l="1"/>
  <c r="F11" i="1"/>
  <c r="F118" i="1"/>
  <c r="G86" i="1" l="1"/>
  <c r="G85" i="1"/>
  <c r="E38" i="1"/>
  <c r="E37" i="1"/>
  <c r="C38" i="1"/>
  <c r="C37" i="1"/>
  <c r="D32" i="1"/>
  <c r="E32" i="1"/>
  <c r="E31" i="1"/>
  <c r="C32" i="1"/>
  <c r="C31" i="1"/>
  <c r="D31" i="1" l="1"/>
  <c r="D38" i="1"/>
  <c r="D37" i="1"/>
  <c r="G30" i="1" l="1"/>
  <c r="G29" i="1"/>
  <c r="G28" i="1"/>
  <c r="G27" i="1"/>
  <c r="G36" i="1"/>
  <c r="G35" i="1"/>
  <c r="G34" i="1"/>
  <c r="G33" i="1"/>
  <c r="G42" i="1"/>
  <c r="G41" i="1"/>
  <c r="G94" i="1"/>
  <c r="G31" i="1" l="1"/>
  <c r="G32" i="1"/>
  <c r="E82" i="1"/>
  <c r="E81" i="1"/>
  <c r="C82" i="1"/>
  <c r="C81" i="1"/>
  <c r="E70" i="1"/>
  <c r="E69" i="1"/>
  <c r="C70" i="1"/>
  <c r="C69" i="1"/>
  <c r="G72" i="1"/>
  <c r="G48" i="1"/>
  <c r="G54" i="1"/>
  <c r="G53" i="1"/>
  <c r="G52" i="1"/>
  <c r="E50" i="1"/>
  <c r="C50" i="1"/>
  <c r="E49" i="1"/>
  <c r="C49" i="1"/>
  <c r="G93" i="1" l="1"/>
  <c r="G71" i="1"/>
  <c r="G56" i="1"/>
  <c r="D50" i="1"/>
  <c r="G51" i="1"/>
  <c r="G55" i="1"/>
  <c r="D49" i="1"/>
  <c r="G26" i="1"/>
  <c r="E26" i="1"/>
  <c r="D26" i="1"/>
  <c r="G25" i="1"/>
  <c r="E25" i="1"/>
  <c r="D25" i="1"/>
  <c r="C26" i="1"/>
  <c r="C25" i="1"/>
  <c r="G47" i="1" l="1"/>
  <c r="G49" i="1"/>
  <c r="G50" i="1"/>
  <c r="G40" i="1"/>
  <c r="G39" i="1"/>
  <c r="D69" i="1" l="1"/>
  <c r="D81" i="1"/>
  <c r="D82" i="1"/>
  <c r="D70" i="1"/>
  <c r="E14" i="2" l="1"/>
  <c r="E11" i="2"/>
  <c r="G104" i="1" l="1"/>
  <c r="G103" i="1"/>
  <c r="G102" i="1"/>
  <c r="G101" i="1"/>
  <c r="G100" i="1"/>
  <c r="G99" i="1"/>
  <c r="G98" i="1"/>
  <c r="G97" i="1"/>
  <c r="G96" i="1"/>
  <c r="G95" i="1"/>
  <c r="G92" i="1"/>
  <c r="G91" i="1"/>
  <c r="G90" i="1"/>
  <c r="G89" i="1"/>
  <c r="G88" i="1"/>
  <c r="G87" i="1"/>
  <c r="G84" i="1"/>
  <c r="G83" i="1"/>
  <c r="G80" i="1"/>
  <c r="G79" i="1"/>
  <c r="G78" i="1"/>
  <c r="G77" i="1"/>
  <c r="G76" i="1"/>
  <c r="G75" i="1"/>
  <c r="G74" i="1"/>
  <c r="G73" i="1"/>
  <c r="G68" i="1"/>
  <c r="G67" i="1"/>
  <c r="G66" i="1"/>
  <c r="G65" i="1"/>
  <c r="G64" i="1"/>
  <c r="G63" i="1"/>
  <c r="G62" i="1"/>
  <c r="G61" i="1"/>
  <c r="G46" i="1"/>
  <c r="G45" i="1"/>
  <c r="G44" i="1"/>
  <c r="G43" i="1"/>
  <c r="G24" i="1"/>
  <c r="G23" i="1"/>
  <c r="G22" i="1"/>
  <c r="G21" i="1"/>
  <c r="G20" i="1"/>
  <c r="G19" i="1"/>
  <c r="G18" i="1"/>
  <c r="G17" i="1"/>
  <c r="D6" i="1"/>
  <c r="D18" i="2"/>
  <c r="D16" i="2"/>
  <c r="E16" i="2" s="1"/>
  <c r="D15" i="2"/>
  <c r="E15" i="2" s="1"/>
  <c r="D12" i="2"/>
  <c r="E12" i="2" s="1"/>
  <c r="D10" i="2"/>
  <c r="E10" i="2" s="1"/>
  <c r="D9" i="2"/>
  <c r="E9" i="2" s="1"/>
  <c r="D8" i="2"/>
  <c r="E8" i="2" s="1"/>
  <c r="D7" i="2"/>
  <c r="E7" i="2" s="1"/>
  <c r="D6" i="2"/>
  <c r="D5" i="2"/>
  <c r="E5" i="2" s="1"/>
  <c r="H18" i="2"/>
  <c r="I18" i="2" s="1"/>
  <c r="H16" i="2"/>
  <c r="G38" i="1" l="1"/>
  <c r="G37" i="1"/>
  <c r="E18" i="2"/>
  <c r="D17" i="2"/>
  <c r="E17" i="2" s="1"/>
  <c r="G81" i="1"/>
  <c r="G82" i="1"/>
  <c r="G70" i="1"/>
  <c r="G69" i="1"/>
  <c r="G8" i="1"/>
  <c r="G9" i="1"/>
  <c r="G10" i="1"/>
  <c r="G6" i="1"/>
  <c r="G7" i="1"/>
  <c r="I16" i="2"/>
  <c r="G60" i="1"/>
  <c r="G59" i="1"/>
  <c r="E60" i="1"/>
  <c r="D60" i="1"/>
  <c r="E59" i="1"/>
  <c r="D59" i="1"/>
  <c r="C60" i="1"/>
  <c r="C59" i="1"/>
  <c r="G16" i="1"/>
  <c r="G15" i="1"/>
  <c r="E16" i="1"/>
  <c r="D16" i="1"/>
  <c r="D14" i="1" s="1"/>
  <c r="E15" i="1"/>
  <c r="E13" i="1" s="1"/>
  <c r="D15" i="1"/>
  <c r="D13" i="1" s="1"/>
  <c r="C16" i="1"/>
  <c r="C14" i="1" s="1"/>
  <c r="C15" i="1"/>
  <c r="C13" i="1" s="1"/>
  <c r="G13" i="1" l="1"/>
  <c r="E14" i="1"/>
  <c r="G14" i="1"/>
  <c r="H17" i="2"/>
  <c r="G58" i="1"/>
  <c r="E57" i="1"/>
  <c r="E11" i="1" s="1"/>
  <c r="D58" i="1"/>
  <c r="D12" i="1" s="1"/>
  <c r="E58" i="1"/>
  <c r="G57" i="1"/>
  <c r="D57" i="1"/>
  <c r="D11" i="1" s="1"/>
  <c r="C23" i="4" s="1"/>
  <c r="C58" i="1"/>
  <c r="C12" i="1" s="1"/>
  <c r="C57" i="1"/>
  <c r="C11" i="1" s="1"/>
  <c r="E5" i="1"/>
  <c r="D5" i="1"/>
  <c r="C5" i="1"/>
  <c r="G5" i="1"/>
  <c r="H9" i="2"/>
  <c r="I9" i="2" s="1"/>
  <c r="H6" i="2"/>
  <c r="G12" i="1" l="1"/>
  <c r="E12" i="1"/>
  <c r="H7" i="2"/>
  <c r="I7" i="2" s="1"/>
  <c r="H8" i="2"/>
  <c r="I8" i="2" s="1"/>
  <c r="H10" i="2"/>
  <c r="I10" i="2" s="1"/>
  <c r="C7" i="4" l="1"/>
  <c r="I17" i="2" l="1"/>
  <c r="H5" i="2" l="1"/>
  <c r="I5" i="2" s="1"/>
  <c r="B7" i="4" l="1"/>
  <c r="B22" i="4" l="1"/>
  <c r="E13" i="2" l="1"/>
  <c r="H15" i="2"/>
  <c r="I15" i="2" s="1"/>
  <c r="H12" i="2"/>
  <c r="I12" i="2" s="1"/>
  <c r="E6" i="2"/>
  <c r="I14" i="2"/>
  <c r="I11" i="2"/>
  <c r="H3" i="2" l="1"/>
  <c r="B23" i="4"/>
  <c r="B24" i="4" s="1"/>
  <c r="D3" i="2" l="1"/>
  <c r="C22" i="4"/>
  <c r="I6" i="2"/>
  <c r="C24" i="4" l="1"/>
  <c r="E3" i="2" l="1"/>
  <c r="I13" i="2"/>
  <c r="I3" i="2" s="1"/>
</calcChain>
</file>

<file path=xl/sharedStrings.xml><?xml version="1.0" encoding="utf-8"?>
<sst xmlns="http://schemas.openxmlformats.org/spreadsheetml/2006/main" count="184" uniqueCount="117">
  <si>
    <t>2024. aasta riigieelarve täitmise arunne</t>
  </si>
  <si>
    <t>eurodes</t>
  </si>
  <si>
    <t>Algne eelarve</t>
  </si>
  <si>
    <t>Lõplik eelarve</t>
  </si>
  <si>
    <t>Täitmine 2024</t>
  </si>
  <si>
    <t>Täitmine 2023</t>
  </si>
  <si>
    <t>Täitmine miinus lõplik eelarve</t>
  </si>
  <si>
    <t xml:space="preserve">SOTSIAALMINISTEERIUMI valitsemisala </t>
  </si>
  <si>
    <t xml:space="preserve">TULUD </t>
  </si>
  <si>
    <t>Riigilõivud</t>
  </si>
  <si>
    <t>Tulu majandustegevusest</t>
  </si>
  <si>
    <t>Saadud toetused</t>
  </si>
  <si>
    <t>Trahvid ja muud varalised karistused</t>
  </si>
  <si>
    <t>Muud tulud</t>
  </si>
  <si>
    <t>KULUD</t>
  </si>
  <si>
    <t>sh piirmääraga vahendid</t>
  </si>
  <si>
    <t>Tulemusvaldkond: HEAOLU</t>
  </si>
  <si>
    <t xml:space="preserve">Tööturuprogramm </t>
  </si>
  <si>
    <t>Tööturuvaldkonna arendamine</t>
  </si>
  <si>
    <t>Aktiivsed ja passiivsed tööturumeetmed</t>
  </si>
  <si>
    <t>Tööelu kvaliteedi arendamine</t>
  </si>
  <si>
    <t>Erivajadustega inimeste toimetulek ja tööalane tegevus</t>
  </si>
  <si>
    <t>Vanemaealiste programm</t>
  </si>
  <si>
    <t>Vanemaealiste heaolu ja ühiskonnaelus osalemise toetamine</t>
  </si>
  <si>
    <t>Pensionisüsteemi kujundamine ja hüvitiste maksmine</t>
  </si>
  <si>
    <t>Sotsiaalhoolekande programm</t>
  </si>
  <si>
    <t>Pikaajalise hoolduse poliitika kujundamine, KOV võimestamine</t>
  </si>
  <si>
    <t>Hoolekande kättesaadavuse tagamine, toimetuleku toetamine</t>
  </si>
  <si>
    <t>Laste ja perede programm</t>
  </si>
  <si>
    <t>Hüvitised ja toetused lastele ja peredele</t>
  </si>
  <si>
    <t>Abivajavaid lapsi ja peresid toetavad teenused</t>
  </si>
  <si>
    <t>Lapsi ja peresid toetavate meetmete arendamine ja pakkumine</t>
  </si>
  <si>
    <t>Laste ja perede ning ohvriabi valdkonna arendamine</t>
  </si>
  <si>
    <t>Teenused ohvritele ja vägivallatsejatele</t>
  </si>
  <si>
    <t>Soolise võrdsuse ja võrdse kohtlemise programm</t>
  </si>
  <si>
    <t>Võrdse kohtlemise valdkonna arendamine</t>
  </si>
  <si>
    <t>Soolise võrdõiguslikkuse valdkonna arendamine</t>
  </si>
  <si>
    <t>Soolise võrdõiguslikkuse ja võrdse kohtlemise volinik</t>
  </si>
  <si>
    <t>Tulemusvaldkond: TERVIS</t>
  </si>
  <si>
    <t>Tervist toetava keskkonna programm</t>
  </si>
  <si>
    <t>Tervist toetava ning parendava keskkonna kujundamine</t>
  </si>
  <si>
    <t>Vee, õhu ning müra ja kiirgusega seotud terviseriskid</t>
  </si>
  <si>
    <t>Kemikaalide ohutus ja riskide vähendamine</t>
  </si>
  <si>
    <t>Toodete ja teenuste ohutus ja riskide vähendamine</t>
  </si>
  <si>
    <t>Tervist toetavate valikute programm</t>
  </si>
  <si>
    <t>Terviseriskide ennetamise ja tervise edendamise korraldamine</t>
  </si>
  <si>
    <t>Vaimse tervise edendamine</t>
  </si>
  <si>
    <t>Tasakaalustatud toitumise ja füüsilise aktiivsuse edendamine</t>
  </si>
  <si>
    <t>Uimastite tarvitamise ennetamine ja vähendamine</t>
  </si>
  <si>
    <t>Nakkushaiguste leviku tõkestamine (HIV, TB ja hepatiidid)</t>
  </si>
  <si>
    <t>Inimkeskse tervishoiu programm</t>
  </si>
  <si>
    <t>Inimkeskse tervishoiu valdkonna arendamine</t>
  </si>
  <si>
    <t>Inimeste terviseharitus ja põhiõiguste kaitse</t>
  </si>
  <si>
    <t>Personali võimekus, juhtimine ja vastutus</t>
  </si>
  <si>
    <t>Tervishoiuteenuste mudelite ümberkujundamine</t>
  </si>
  <si>
    <t>Tervisesüsteemi kvaliteet ja patsiendiohutus</t>
  </si>
  <si>
    <t>Tervise ebavõrdsuse vähendamine ja ravikindlustuse tagamine</t>
  </si>
  <si>
    <t>Ravimite ja meditsiiniseadmete valdkonna arendamine</t>
  </si>
  <si>
    <t>Ravimite, verepreparaatide, meditsiiniseadmete kättesaadavus</t>
  </si>
  <si>
    <t>Nakkushaiguste leviku tõkestamine (vaktsineerimine, AMR)</t>
  </si>
  <si>
    <t>Käibemaks</t>
  </si>
  <si>
    <t xml:space="preserve">INVESTEERINGUD </t>
  </si>
  <si>
    <t>sh käibemaks</t>
  </si>
  <si>
    <t>KORRIGEERIMISED</t>
  </si>
  <si>
    <t>Maksud ja sotsiaalkindlustusmaksed</t>
  </si>
  <si>
    <t>Tulem osaluste ümberhindamisest</t>
  </si>
  <si>
    <t>Edasiantud maksutulu, tekkepõhise ja kassapõhise kulu vahe</t>
  </si>
  <si>
    <t>Eraldistelt arvestatud intressikulu</t>
  </si>
  <si>
    <t>Saadud välistoetuste kaasrahastamine teistelt riigiasutustelt</t>
  </si>
  <si>
    <t xml:space="preserve">Teistele valitsemisaladele vahendatud välistoetused ja kaasfinantseerimine </t>
  </si>
  <si>
    <t>Teistele valitsemisaladele vahendatud välistoetused (tulu taastamine)</t>
  </si>
  <si>
    <t>Ebatõenäoliselt laekuvad arved, tulu taastamine</t>
  </si>
  <si>
    <t>Ebatõenäoliselt laekuvad arved, kulu taastamine</t>
  </si>
  <si>
    <t>Kogumispensioni 4% väljamaksed eelarve kuludes, elimineerimine</t>
  </si>
  <si>
    <t>Pensionieraldiste moodustamine</t>
  </si>
  <si>
    <t>Pensionieraldiste väljamaksed, elimineerimine kuludest</t>
  </si>
  <si>
    <t>Kontroll</t>
  </si>
  <si>
    <t>saldoandmik</t>
  </si>
  <si>
    <t xml:space="preserve">Lisa </t>
  </si>
  <si>
    <t>Eelarve täitmise ja raamatupidamisaruannete võrdlus</t>
  </si>
  <si>
    <t>Valitsemisala</t>
  </si>
  <si>
    <t>Kirje</t>
  </si>
  <si>
    <t>Raamatupidamisandmed 2024</t>
  </si>
  <si>
    <t>RE aruanne 2024</t>
  </si>
  <si>
    <t>Vahe 2024</t>
  </si>
  <si>
    <t>Selgitus</t>
  </si>
  <si>
    <t>Raamatupidamisandmed 2023</t>
  </si>
  <si>
    <t>RE aruanne 2023</t>
  </si>
  <si>
    <t>Vahe 2023</t>
  </si>
  <si>
    <t>SOM</t>
  </si>
  <si>
    <t>3sisesed</t>
  </si>
  <si>
    <t>Finantstulud</t>
  </si>
  <si>
    <t>Tegevuskulud, v.a käibemaksukulu</t>
  </si>
  <si>
    <t>4,5,6sisesed</t>
  </si>
  <si>
    <t>Finantskulud</t>
  </si>
  <si>
    <t>Käibemaksukulu tegevuskuludelt</t>
  </si>
  <si>
    <t>Investeeringud</t>
  </si>
  <si>
    <t>Käibemaksukulu investeeringutelt</t>
  </si>
  <si>
    <t>Lõpliku eelarve kujunemine</t>
  </si>
  <si>
    <t>Tulud</t>
  </si>
  <si>
    <t>Kulud, investeeringud</t>
  </si>
  <si>
    <t>Esialgne eelarve</t>
  </si>
  <si>
    <t>Üle toodud eelmisest aastast</t>
  </si>
  <si>
    <t>Muudatused 29.05.2024 riigieelarve muutmise seaduse alusel</t>
  </si>
  <si>
    <t>Muudatused 19.06.2024 lisaeelarve seaduse alusel</t>
  </si>
  <si>
    <t>Muudatused 05.12.2024 riigieelarve seaduse muutmise seaduse alusel</t>
  </si>
  <si>
    <t>Sihtotstarbeliste vahendite reservist</t>
  </si>
  <si>
    <t>Eelarves kavandatud toetused</t>
  </si>
  <si>
    <t>Tegelikult saadud toetused ja avatud sildfinantseerimine</t>
  </si>
  <si>
    <t>Eelarves kavandatud välistoetuste kaasrahastamine</t>
  </si>
  <si>
    <t>Tegelik välistoetuste kaasrahastamine</t>
  </si>
  <si>
    <t>Eelarves kavandatud saastekvootide müügist</t>
  </si>
  <si>
    <t>Saastekvootide müügist saadud eelarve ümberjaotamine</t>
  </si>
  <si>
    <t>Eelarves kavandatud majandustegevusest laekuv tulu</t>
  </si>
  <si>
    <t>Tegelikult majandustegevusest saadud tulu</t>
  </si>
  <si>
    <t>Eelarves kavandatud muud tuludest sõltuvad kulud</t>
  </si>
  <si>
    <t>Kokku lõplik eelarve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</si>
</sst>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color theme="5" tint="-0.49998474074526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9"/>
      <color theme="1"/>
      <name val="Cambria"/>
      <family val="1"/>
      <charset val="186"/>
    </font>
    <font>
      <sz val="9"/>
      <color theme="1"/>
      <name val="Cambria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3" fontId="0" fillId="0" borderId="0" xfId="0" applyNumberFormat="1"/>
    <xf numFmtId="3" fontId="3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10" fillId="0" borderId="0" xfId="0" applyFont="1"/>
    <xf numFmtId="3" fontId="8" fillId="0" borderId="0" xfId="0" applyNumberFormat="1" applyFont="1"/>
    <xf numFmtId="4" fontId="8" fillId="0" borderId="0" xfId="0" applyNumberFormat="1" applyFont="1"/>
    <xf numFmtId="4" fontId="8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2" fillId="0" borderId="0" xfId="0" applyNumberFormat="1" applyFont="1" applyAlignment="1">
      <alignment wrapText="1"/>
    </xf>
    <xf numFmtId="4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8" fillId="0" borderId="0" xfId="0" applyFont="1"/>
    <xf numFmtId="0" fontId="12" fillId="0" borderId="0" xfId="0" applyFont="1"/>
    <xf numFmtId="3" fontId="12" fillId="0" borderId="0" xfId="0" applyNumberFormat="1" applyFont="1" applyAlignment="1">
      <alignment vertical="top"/>
    </xf>
    <xf numFmtId="0" fontId="12" fillId="0" borderId="1" xfId="0" applyFont="1" applyBorder="1" applyAlignment="1">
      <alignment vertical="top"/>
    </xf>
    <xf numFmtId="3" fontId="12" fillId="0" borderId="1" xfId="0" applyNumberFormat="1" applyFont="1" applyBorder="1" applyAlignment="1">
      <alignment vertical="top"/>
    </xf>
    <xf numFmtId="0" fontId="12" fillId="0" borderId="1" xfId="0" applyFont="1" applyBorder="1"/>
    <xf numFmtId="0" fontId="10" fillId="0" borderId="1" xfId="0" applyFont="1" applyBorder="1" applyAlignment="1">
      <alignment vertical="top"/>
    </xf>
    <xf numFmtId="3" fontId="10" fillId="0" borderId="1" xfId="0" applyNumberFormat="1" applyFont="1" applyBorder="1" applyAlignment="1">
      <alignment vertical="top"/>
    </xf>
    <xf numFmtId="3" fontId="12" fillId="0" borderId="0" xfId="0" applyNumberFormat="1" applyFont="1"/>
    <xf numFmtId="0" fontId="11" fillId="0" borderId="0" xfId="0" applyFont="1"/>
    <xf numFmtId="0" fontId="14" fillId="0" borderId="0" xfId="0" applyFont="1"/>
    <xf numFmtId="4" fontId="0" fillId="0" borderId="0" xfId="0" applyNumberFormat="1" applyAlignment="1">
      <alignment horizontal="right"/>
    </xf>
    <xf numFmtId="3" fontId="5" fillId="0" borderId="1" xfId="2" applyNumberFormat="1" applyFont="1" applyBorder="1" applyAlignment="1" applyProtection="1">
      <alignment horizontal="right"/>
      <protection locked="0"/>
    </xf>
    <xf numFmtId="43" fontId="0" fillId="0" borderId="0" xfId="6" applyFont="1"/>
    <xf numFmtId="4" fontId="8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 wrapText="1"/>
    </xf>
    <xf numFmtId="43" fontId="1" fillId="0" borderId="0" xfId="6" applyFont="1"/>
    <xf numFmtId="43" fontId="11" fillId="0" borderId="0" xfId="6" applyFont="1"/>
    <xf numFmtId="0" fontId="13" fillId="0" borderId="0" xfId="0" applyFont="1"/>
    <xf numFmtId="0" fontId="3" fillId="0" borderId="0" xfId="0" applyFont="1"/>
    <xf numFmtId="3" fontId="4" fillId="0" borderId="0" xfId="0" applyNumberFormat="1" applyFont="1"/>
    <xf numFmtId="3" fontId="5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3" fontId="3" fillId="0" borderId="1" xfId="0" applyNumberFormat="1" applyFont="1" applyBorder="1"/>
    <xf numFmtId="0" fontId="3" fillId="0" borderId="1" xfId="2" applyFont="1" applyBorder="1" applyAlignment="1" applyProtection="1">
      <alignment horizontal="left"/>
      <protection locked="0"/>
    </xf>
    <xf numFmtId="0" fontId="5" fillId="0" borderId="1" xfId="2" applyFont="1" applyBorder="1" applyAlignment="1" applyProtection="1">
      <alignment horizontal="left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left"/>
      <protection locked="0"/>
    </xf>
    <xf numFmtId="3" fontId="3" fillId="0" borderId="1" xfId="0" applyNumberFormat="1" applyFont="1" applyBorder="1" applyAlignment="1">
      <alignment horizontal="left"/>
    </xf>
    <xf numFmtId="0" fontId="5" fillId="0" borderId="1" xfId="0" applyFont="1" applyBorder="1"/>
    <xf numFmtId="0" fontId="3" fillId="0" borderId="1" xfId="0" applyFont="1" applyBorder="1"/>
    <xf numFmtId="0" fontId="5" fillId="0" borderId="1" xfId="0" applyFont="1" applyBorder="1" applyAlignment="1" applyProtection="1">
      <alignment vertical="top"/>
      <protection locked="0"/>
    </xf>
    <xf numFmtId="43" fontId="1" fillId="0" borderId="0" xfId="6" applyFont="1" applyFill="1"/>
    <xf numFmtId="43" fontId="0" fillId="0" borderId="0" xfId="6" applyFont="1" applyFill="1"/>
    <xf numFmtId="3" fontId="2" fillId="0" borderId="0" xfId="0" applyNumberFormat="1" applyFont="1"/>
    <xf numFmtId="3" fontId="13" fillId="0" borderId="0" xfId="0" applyNumberFormat="1" applyFont="1" applyAlignment="1">
      <alignment horizontal="center" wrapText="1"/>
    </xf>
    <xf numFmtId="0" fontId="13" fillId="0" borderId="0" xfId="2" applyFont="1" applyAlignment="1" applyProtection="1">
      <alignment horizontal="left"/>
      <protection locked="0"/>
    </xf>
    <xf numFmtId="3" fontId="14" fillId="0" borderId="0" xfId="0" applyNumberFormat="1" applyFont="1"/>
    <xf numFmtId="0" fontId="13" fillId="0" borderId="0" xfId="0" applyFont="1" applyAlignment="1">
      <alignment horizontal="left"/>
    </xf>
    <xf numFmtId="3" fontId="13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2" applyFont="1" applyAlignment="1" applyProtection="1">
      <alignment horizontal="left"/>
      <protection locked="0"/>
    </xf>
    <xf numFmtId="3" fontId="13" fillId="0" borderId="0" xfId="0" applyNumberFormat="1" applyFont="1" applyAlignment="1">
      <alignment horizontal="left"/>
    </xf>
    <xf numFmtId="0" fontId="14" fillId="0" borderId="0" xfId="1" applyFont="1" applyAlignment="1" applyProtection="1">
      <alignment horizontal="left"/>
      <protection locked="0"/>
    </xf>
    <xf numFmtId="0" fontId="14" fillId="0" borderId="0" xfId="0" applyFont="1" applyAlignment="1">
      <alignment horizontal="center"/>
    </xf>
    <xf numFmtId="0" fontId="12" fillId="0" borderId="1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4" fontId="10" fillId="2" borderId="1" xfId="0" applyNumberFormat="1" applyFont="1" applyFill="1" applyBorder="1" applyAlignment="1">
      <alignment horizontal="right" vertical="top" wrapText="1"/>
    </xf>
    <xf numFmtId="4" fontId="10" fillId="2" borderId="1" xfId="0" applyNumberFormat="1" applyFont="1" applyFill="1" applyBorder="1" applyAlignment="1">
      <alignment vertical="top"/>
    </xf>
    <xf numFmtId="4" fontId="10" fillId="2" borderId="1" xfId="0" applyNumberFormat="1" applyFont="1" applyFill="1" applyBorder="1" applyAlignment="1">
      <alignment vertical="top" wrapText="1"/>
    </xf>
    <xf numFmtId="3" fontId="12" fillId="2" borderId="1" xfId="0" applyNumberFormat="1" applyFont="1" applyFill="1" applyBorder="1" applyAlignment="1">
      <alignment horizontal="center" vertical="top" wrapText="1"/>
    </xf>
    <xf numFmtId="0" fontId="3" fillId="2" borderId="1" xfId="2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>
      <alignment horizontal="left"/>
    </xf>
    <xf numFmtId="3" fontId="6" fillId="2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3" fontId="9" fillId="2" borderId="1" xfId="0" applyNumberFormat="1" applyFont="1" applyFill="1" applyBorder="1" applyAlignment="1">
      <alignment horizontal="right"/>
    </xf>
    <xf numFmtId="3" fontId="5" fillId="2" borderId="1" xfId="2" applyNumberFormat="1" applyFont="1" applyFill="1" applyBorder="1" applyAlignment="1" applyProtection="1">
      <alignment horizontal="right"/>
      <protection locked="0"/>
    </xf>
    <xf numFmtId="3" fontId="5" fillId="2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0" fontId="3" fillId="2" borderId="1" xfId="1" applyFont="1" applyFill="1" applyBorder="1" applyAlignment="1" applyProtection="1">
      <alignment horizontal="left"/>
      <protection locked="0"/>
    </xf>
    <xf numFmtId="43" fontId="0" fillId="2" borderId="0" xfId="6" applyFont="1" applyFill="1"/>
    <xf numFmtId="0" fontId="13" fillId="2" borderId="0" xfId="1" applyFont="1" applyFill="1" applyAlignment="1" applyProtection="1">
      <alignment horizontal="left"/>
      <protection locked="0"/>
    </xf>
    <xf numFmtId="3" fontId="14" fillId="2" borderId="0" xfId="0" applyNumberFormat="1" applyFont="1" applyFill="1"/>
    <xf numFmtId="3" fontId="13" fillId="2" borderId="0" xfId="0" applyNumberFormat="1" applyFont="1" applyFill="1"/>
    <xf numFmtId="0" fontId="0" fillId="2" borderId="0" xfId="0" applyFill="1"/>
  </cellXfs>
  <cellStyles count="8">
    <cellStyle name="Comma 2" xfId="7" xr:uid="{68AF3142-48B6-46A0-9B66-4AC016C8CCBB}"/>
    <cellStyle name="Koma" xfId="6" builtinId="3"/>
    <cellStyle name="Normaallaad" xfId="0" builtinId="0"/>
    <cellStyle name="Normaallaad 2" xfId="5" xr:uid="{625F7053-1720-45B8-BC60-DA405838C2BD}"/>
    <cellStyle name="Normal 10 2" xfId="1" xr:uid="{D70F4CDE-1FE7-448C-B78C-16802263EF7D}"/>
    <cellStyle name="Normal 25 3 6" xfId="4" xr:uid="{C2461F04-5869-445E-B9DC-9D0918BE1F25}"/>
    <cellStyle name="Normal 25 9" xfId="2" xr:uid="{8906365B-27A6-4989-AF6D-1E0C5258DC94}"/>
    <cellStyle name="Normal 25 9 2" xfId="3" xr:uid="{9FD4BB3A-C968-4E24-8E39-E7D1D70EBE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09F5C-00A4-4BD3-B743-9BFC60E719C1}">
  <dimension ref="A1:Q120"/>
  <sheetViews>
    <sheetView tabSelected="1" topLeftCell="A104" zoomScale="90" zoomScaleNormal="90" workbookViewId="0">
      <selection activeCell="F131" sqref="F131"/>
    </sheetView>
  </sheetViews>
  <sheetFormatPr defaultRowHeight="14.45"/>
  <cols>
    <col min="1" max="1" width="7.42578125" customWidth="1"/>
    <col min="2" max="2" width="53.42578125" customWidth="1"/>
    <col min="3" max="7" width="22" style="1" customWidth="1"/>
    <col min="8" max="8" width="19.7109375" style="29" customWidth="1"/>
    <col min="9" max="9" width="18.85546875" style="29" bestFit="1" customWidth="1"/>
    <col min="10" max="11" width="18.85546875" style="29" customWidth="1"/>
    <col min="12" max="12" width="44.5703125" style="26" customWidth="1"/>
    <col min="13" max="13" width="13.42578125" style="26" bestFit="1" customWidth="1"/>
    <col min="14" max="14" width="13.42578125" style="26" customWidth="1"/>
    <col min="15" max="15" width="13" style="26" customWidth="1"/>
    <col min="16" max="16" width="13.5703125" style="26" customWidth="1"/>
    <col min="17" max="17" width="13.7109375" style="26" customWidth="1"/>
  </cols>
  <sheetData>
    <row r="1" spans="1:17" ht="15.6">
      <c r="A1" s="35" t="s">
        <v>0</v>
      </c>
      <c r="C1" s="36"/>
      <c r="E1" s="52"/>
      <c r="G1" s="37"/>
      <c r="L1" s="34"/>
    </row>
    <row r="2" spans="1:17" ht="15.6">
      <c r="A2" t="s">
        <v>1</v>
      </c>
      <c r="C2" s="36"/>
      <c r="G2" s="37"/>
    </row>
    <row r="3" spans="1:17" ht="30.6">
      <c r="A3" s="38"/>
      <c r="B3" s="38"/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M3" s="53"/>
      <c r="N3" s="53"/>
      <c r="O3" s="53"/>
      <c r="P3" s="53"/>
      <c r="Q3" s="53"/>
    </row>
    <row r="4" spans="1:17" ht="15.6">
      <c r="A4" s="69" t="s">
        <v>7</v>
      </c>
      <c r="B4" s="70"/>
      <c r="C4" s="4"/>
      <c r="D4" s="4"/>
      <c r="E4" s="28"/>
      <c r="F4" s="28"/>
      <c r="G4" s="3"/>
      <c r="L4" s="54"/>
      <c r="M4" s="55"/>
      <c r="N4" s="55"/>
      <c r="O4" s="55"/>
      <c r="P4" s="55"/>
      <c r="Q4" s="55"/>
    </row>
    <row r="5" spans="1:17" ht="15.6">
      <c r="A5" s="39" t="s">
        <v>8</v>
      </c>
      <c r="B5" s="39"/>
      <c r="C5" s="71">
        <f>SUM(C6:C10)</f>
        <v>74743095</v>
      </c>
      <c r="D5" s="71">
        <f>SUM(D6:D10)</f>
        <v>74743095</v>
      </c>
      <c r="E5" s="71">
        <f>SUM(E6:E10)</f>
        <v>65256056.780000001</v>
      </c>
      <c r="F5" s="71">
        <f>SUM(F6:F10)</f>
        <v>162824813.76999998</v>
      </c>
      <c r="G5" s="71">
        <f>SUM(G6:G10)</f>
        <v>-9487038.2200000025</v>
      </c>
      <c r="L5" s="56"/>
      <c r="M5" s="57"/>
      <c r="N5" s="57"/>
      <c r="O5" s="57"/>
      <c r="P5" s="57"/>
      <c r="Q5" s="57"/>
    </row>
    <row r="6" spans="1:17" ht="15.6">
      <c r="A6" s="40"/>
      <c r="B6" s="40" t="s">
        <v>9</v>
      </c>
      <c r="C6" s="4">
        <v>423531</v>
      </c>
      <c r="D6" s="4">
        <f>C6</f>
        <v>423531</v>
      </c>
      <c r="E6" s="4">
        <v>322835.57</v>
      </c>
      <c r="F6" s="4">
        <v>309623.27</v>
      </c>
      <c r="G6" s="4">
        <f>E6-D6</f>
        <v>-100695.43</v>
      </c>
      <c r="H6" s="32"/>
      <c r="I6" s="32"/>
      <c r="L6" s="58"/>
      <c r="M6" s="55"/>
      <c r="N6" s="55"/>
      <c r="O6" s="55"/>
      <c r="P6" s="55"/>
      <c r="Q6" s="55"/>
    </row>
    <row r="7" spans="1:17" ht="15.6">
      <c r="A7" s="40"/>
      <c r="B7" s="40" t="s">
        <v>10</v>
      </c>
      <c r="C7" s="4">
        <v>7787611</v>
      </c>
      <c r="D7" s="4">
        <f t="shared" ref="D7:D10" si="0">C7</f>
        <v>7787611</v>
      </c>
      <c r="E7" s="4">
        <f>6900474.39+46786.38</f>
        <v>6947260.7699999996</v>
      </c>
      <c r="F7" s="4">
        <f>8989649.64-54913.65</f>
        <v>8934735.9900000002</v>
      </c>
      <c r="G7" s="4">
        <f t="shared" ref="G7:G10" si="1">E7-D7</f>
        <v>-840350.23000000045</v>
      </c>
      <c r="H7" s="32"/>
      <c r="I7" s="32"/>
      <c r="L7" s="58"/>
      <c r="M7" s="55"/>
      <c r="N7" s="55"/>
      <c r="O7" s="55"/>
      <c r="P7" s="55"/>
      <c r="Q7" s="55"/>
    </row>
    <row r="8" spans="1:17" ht="15.6">
      <c r="A8" s="40"/>
      <c r="B8" s="40" t="s">
        <v>11</v>
      </c>
      <c r="C8" s="4">
        <v>66038953</v>
      </c>
      <c r="D8" s="4">
        <f t="shared" si="0"/>
        <v>66038953</v>
      </c>
      <c r="E8" s="4">
        <f>75896593.28-17098110.79-1525835.09</f>
        <v>57272647.399999999</v>
      </c>
      <c r="F8" s="4">
        <f>176558305-891647.59-1428308.55-21374680.48</f>
        <v>152863668.38</v>
      </c>
      <c r="G8" s="4">
        <f t="shared" si="1"/>
        <v>-8766305.6000000015</v>
      </c>
      <c r="I8" s="32"/>
      <c r="L8" s="58"/>
      <c r="M8" s="55"/>
      <c r="N8" s="55"/>
      <c r="O8" s="55"/>
      <c r="P8" s="55"/>
      <c r="Q8" s="55"/>
    </row>
    <row r="9" spans="1:17" ht="15.6">
      <c r="A9" s="40"/>
      <c r="B9" s="40" t="s">
        <v>12</v>
      </c>
      <c r="C9" s="4">
        <v>10000</v>
      </c>
      <c r="D9" s="4">
        <f t="shared" si="0"/>
        <v>10000</v>
      </c>
      <c r="E9" s="4">
        <v>7947.2</v>
      </c>
      <c r="F9" s="4">
        <v>35787.01</v>
      </c>
      <c r="G9" s="4">
        <f t="shared" si="1"/>
        <v>-2052.8000000000002</v>
      </c>
      <c r="H9" s="32"/>
      <c r="I9" s="32"/>
      <c r="L9" s="58"/>
      <c r="M9" s="55"/>
      <c r="N9" s="55"/>
      <c r="O9" s="55"/>
      <c r="P9" s="55"/>
      <c r="Q9" s="55"/>
    </row>
    <row r="10" spans="1:17" ht="15.6">
      <c r="A10" s="40"/>
      <c r="B10" s="40" t="s">
        <v>13</v>
      </c>
      <c r="C10" s="4">
        <v>483000</v>
      </c>
      <c r="D10" s="4">
        <f t="shared" si="0"/>
        <v>483000</v>
      </c>
      <c r="E10" s="4">
        <f>695468.55+460.38+9436.91</f>
        <v>705365.84000000008</v>
      </c>
      <c r="F10" s="4">
        <v>680999.12</v>
      </c>
      <c r="G10" s="4">
        <f t="shared" si="1"/>
        <v>222365.84000000008</v>
      </c>
      <c r="H10" s="32"/>
      <c r="I10" s="32"/>
      <c r="L10" s="58"/>
      <c r="M10" s="55"/>
      <c r="N10" s="55"/>
      <c r="O10" s="55"/>
      <c r="P10" s="55"/>
      <c r="Q10" s="55"/>
    </row>
    <row r="11" spans="1:17" ht="15.6">
      <c r="A11" s="42" t="s">
        <v>14</v>
      </c>
      <c r="B11" s="42"/>
      <c r="C11" s="72">
        <f>C13+C57+C101</f>
        <v>-7217231120</v>
      </c>
      <c r="D11" s="72">
        <f>D13+D57+D101</f>
        <v>-7260203900.8299999</v>
      </c>
      <c r="E11" s="72">
        <f>E13+E57+E101</f>
        <v>-7072502071.8999996</v>
      </c>
      <c r="F11" s="71">
        <f>F13+F57+F101</f>
        <v>-7467013043.1100006</v>
      </c>
      <c r="G11" s="71">
        <v>187701830</v>
      </c>
      <c r="L11" s="54"/>
      <c r="M11" s="57"/>
      <c r="N11" s="57"/>
      <c r="O11" s="57"/>
      <c r="P11" s="57"/>
      <c r="Q11" s="57"/>
    </row>
    <row r="12" spans="1:17" ht="15.6">
      <c r="A12" s="40"/>
      <c r="B12" s="43" t="s">
        <v>15</v>
      </c>
      <c r="C12" s="79">
        <f>C14+C58</f>
        <v>-328962383</v>
      </c>
      <c r="D12" s="79">
        <f>D14+D58</f>
        <v>-367417152.29000002</v>
      </c>
      <c r="E12" s="79">
        <f>E14+E58+1</f>
        <v>-331291749.69</v>
      </c>
      <c r="F12" s="79">
        <f>F14+F58</f>
        <v>-364471294.89000005</v>
      </c>
      <c r="G12" s="79">
        <f>G14+G58</f>
        <v>36125401.599999979</v>
      </c>
      <c r="L12" s="59"/>
      <c r="M12" s="55"/>
      <c r="N12" s="55"/>
      <c r="O12" s="55"/>
      <c r="P12" s="55"/>
      <c r="Q12" s="55"/>
    </row>
    <row r="13" spans="1:17" ht="15.6">
      <c r="A13" s="39" t="s">
        <v>16</v>
      </c>
      <c r="B13" s="44"/>
      <c r="C13" s="5">
        <f t="shared" ref="C13:G14" si="2">C15+C25+C31+C37+C49</f>
        <v>-4710435338</v>
      </c>
      <c r="D13" s="5">
        <f t="shared" si="2"/>
        <v>-4723179757.2300005</v>
      </c>
      <c r="E13" s="5">
        <f t="shared" si="2"/>
        <v>-4592465563.4100008</v>
      </c>
      <c r="F13" s="5">
        <f t="shared" si="2"/>
        <v>-5061996924.1400003</v>
      </c>
      <c r="G13" s="5">
        <f t="shared" si="2"/>
        <v>130714193.81999989</v>
      </c>
      <c r="L13" s="56"/>
      <c r="M13" s="57"/>
      <c r="N13" s="57"/>
      <c r="O13" s="57"/>
      <c r="P13" s="57"/>
      <c r="Q13" s="57"/>
    </row>
    <row r="14" spans="1:17" ht="15.6">
      <c r="A14" s="39"/>
      <c r="B14" s="43" t="s">
        <v>15</v>
      </c>
      <c r="C14" s="4">
        <f t="shared" si="2"/>
        <v>-122074547</v>
      </c>
      <c r="D14" s="4">
        <f t="shared" si="2"/>
        <v>-141246326.95000002</v>
      </c>
      <c r="E14" s="4">
        <f t="shared" si="2"/>
        <v>-120648930.34</v>
      </c>
      <c r="F14" s="4">
        <f t="shared" si="2"/>
        <v>-125648801.75</v>
      </c>
      <c r="G14" s="4">
        <f t="shared" si="2"/>
        <v>20597396.609999992</v>
      </c>
      <c r="L14" s="59"/>
      <c r="M14" s="55"/>
      <c r="N14" s="55"/>
      <c r="O14" s="55"/>
      <c r="P14" s="55"/>
      <c r="Q14" s="55"/>
    </row>
    <row r="15" spans="1:17" s="25" customFormat="1" ht="15.6">
      <c r="A15" s="48" t="s">
        <v>17</v>
      </c>
      <c r="B15" s="6"/>
      <c r="C15" s="5">
        <f>C17+C19+C21+C23</f>
        <v>-17262390</v>
      </c>
      <c r="D15" s="5">
        <f t="shared" ref="D15:E15" si="3">D17+D19+D21+D23</f>
        <v>-17711375.879999999</v>
      </c>
      <c r="E15" s="5">
        <f t="shared" si="3"/>
        <v>-16988420.98</v>
      </c>
      <c r="F15" s="5">
        <f t="shared" ref="F15" si="4">F17+F19+F21+F23</f>
        <v>-473150739.30000001</v>
      </c>
      <c r="G15" s="5">
        <f t="shared" ref="G15" si="5">G17+G19+G21+G23</f>
        <v>722954.90000000014</v>
      </c>
      <c r="H15" s="33"/>
      <c r="I15" s="33"/>
      <c r="J15" s="29"/>
      <c r="K15" s="29"/>
      <c r="L15" s="34"/>
      <c r="M15" s="57"/>
      <c r="N15" s="57"/>
      <c r="O15" s="57"/>
      <c r="P15" s="57"/>
      <c r="Q15" s="57"/>
    </row>
    <row r="16" spans="1:17" ht="15.6">
      <c r="A16" s="40"/>
      <c r="B16" s="43" t="s">
        <v>15</v>
      </c>
      <c r="C16" s="4">
        <f>C18+C20+C22+C24</f>
        <v>-2111919</v>
      </c>
      <c r="D16" s="4">
        <f t="shared" ref="D16:E16" si="6">D18+D20+D22+D24</f>
        <v>-2719761.37</v>
      </c>
      <c r="E16" s="4">
        <f t="shared" si="6"/>
        <v>-2532285.14</v>
      </c>
      <c r="F16" s="4">
        <f t="shared" ref="F16" si="7">F18+F20+F22+F24</f>
        <v>-6810980.25</v>
      </c>
      <c r="G16" s="4">
        <f t="shared" ref="G16" si="8">G18+G20+G22+G24</f>
        <v>187476.22999999981</v>
      </c>
      <c r="L16" s="59"/>
      <c r="M16" s="55"/>
      <c r="N16" s="55"/>
      <c r="O16" s="55"/>
      <c r="P16" s="55"/>
      <c r="Q16" s="55"/>
    </row>
    <row r="17" spans="1:17" ht="15.6">
      <c r="A17" s="40" t="s">
        <v>18</v>
      </c>
      <c r="B17" s="43"/>
      <c r="C17" s="4">
        <v>0</v>
      </c>
      <c r="D17" s="4">
        <f>C17</f>
        <v>0</v>
      </c>
      <c r="E17" s="4">
        <v>0</v>
      </c>
      <c r="F17" s="4">
        <v>-1233406.1599999999</v>
      </c>
      <c r="G17" s="4">
        <f t="shared" ref="G17:G24" si="9">E17-D17</f>
        <v>0</v>
      </c>
      <c r="L17" s="58"/>
      <c r="M17" s="55"/>
      <c r="N17" s="55"/>
      <c r="O17" s="55"/>
      <c r="P17" s="55"/>
      <c r="Q17" s="55"/>
    </row>
    <row r="18" spans="1:17" ht="15.6">
      <c r="A18" s="40"/>
      <c r="B18" s="43" t="s">
        <v>15</v>
      </c>
      <c r="C18" s="4">
        <v>0</v>
      </c>
      <c r="D18" s="4">
        <f t="shared" ref="D18:D20" si="10">C18</f>
        <v>0</v>
      </c>
      <c r="E18" s="4">
        <v>0</v>
      </c>
      <c r="F18" s="4">
        <v>-1126536.3400000001</v>
      </c>
      <c r="G18" s="4">
        <f t="shared" si="9"/>
        <v>0</v>
      </c>
      <c r="L18" s="59"/>
      <c r="M18" s="55"/>
      <c r="N18" s="55"/>
      <c r="O18" s="55"/>
      <c r="P18" s="55"/>
      <c r="Q18" s="55"/>
    </row>
    <row r="19" spans="1:17" ht="15.6">
      <c r="A19" s="40" t="s">
        <v>19</v>
      </c>
      <c r="B19" s="43"/>
      <c r="C19" s="4">
        <v>-346506</v>
      </c>
      <c r="D19" s="4">
        <f>C19+346506</f>
        <v>0</v>
      </c>
      <c r="E19" s="4">
        <v>0</v>
      </c>
      <c r="F19" s="4">
        <v>-452247103.74000001</v>
      </c>
      <c r="G19" s="4">
        <f t="shared" si="9"/>
        <v>0</v>
      </c>
      <c r="L19" s="58"/>
      <c r="M19" s="55"/>
      <c r="N19" s="55"/>
      <c r="O19" s="55"/>
      <c r="P19" s="55"/>
      <c r="Q19" s="55"/>
    </row>
    <row r="20" spans="1:17" ht="15.6">
      <c r="A20" s="40"/>
      <c r="B20" s="43" t="s">
        <v>15</v>
      </c>
      <c r="C20" s="4">
        <v>0</v>
      </c>
      <c r="D20" s="4">
        <f t="shared" si="10"/>
        <v>0</v>
      </c>
      <c r="E20" s="4">
        <v>0</v>
      </c>
      <c r="F20" s="4">
        <v>-322420.96000000002</v>
      </c>
      <c r="G20" s="4">
        <f t="shared" si="9"/>
        <v>0</v>
      </c>
      <c r="L20" s="59"/>
      <c r="M20" s="55"/>
      <c r="N20" s="55"/>
      <c r="O20" s="55"/>
      <c r="P20" s="55"/>
      <c r="Q20" s="55"/>
    </row>
    <row r="21" spans="1:17" ht="15.6">
      <c r="A21" s="40" t="s">
        <v>20</v>
      </c>
      <c r="B21" s="43"/>
      <c r="C21" s="4">
        <v>-16503431</v>
      </c>
      <c r="D21" s="4">
        <f>C21+16400-451703+361277-672869.18</f>
        <v>-17250326.18</v>
      </c>
      <c r="E21" s="4">
        <v>-16585120.85</v>
      </c>
      <c r="F21" s="4">
        <v>-17240659.829999998</v>
      </c>
      <c r="G21" s="4">
        <f t="shared" si="9"/>
        <v>665205.33000000007</v>
      </c>
      <c r="L21" s="58"/>
      <c r="M21" s="55"/>
      <c r="N21" s="55"/>
      <c r="O21" s="55"/>
      <c r="P21" s="55"/>
      <c r="Q21" s="55"/>
    </row>
    <row r="22" spans="1:17" ht="15.6">
      <c r="A22" s="40"/>
      <c r="B22" s="43" t="s">
        <v>15</v>
      </c>
      <c r="C22" s="4">
        <v>-1776592</v>
      </c>
      <c r="D22" s="4">
        <f>C22+16400-451703-123942.52</f>
        <v>-2335837.52</v>
      </c>
      <c r="E22" s="4">
        <v>-2188236.7200000002</v>
      </c>
      <c r="F22" s="4">
        <v>-3609069.92</v>
      </c>
      <c r="G22" s="4">
        <f t="shared" si="9"/>
        <v>147600.79999999981</v>
      </c>
      <c r="L22" s="59"/>
      <c r="M22" s="55"/>
      <c r="N22" s="55"/>
      <c r="O22" s="55"/>
      <c r="P22" s="55"/>
      <c r="Q22" s="55"/>
    </row>
    <row r="23" spans="1:17" ht="15.6">
      <c r="A23" s="40" t="s">
        <v>21</v>
      </c>
      <c r="B23" s="43"/>
      <c r="C23" s="4">
        <v>-412453</v>
      </c>
      <c r="D23" s="4">
        <f>C23+112211-160807.7</f>
        <v>-461049.7</v>
      </c>
      <c r="E23" s="4">
        <v>-403300.13</v>
      </c>
      <c r="F23" s="4">
        <v>-2429569.5699999998</v>
      </c>
      <c r="G23" s="4">
        <f t="shared" si="9"/>
        <v>57749.570000000007</v>
      </c>
      <c r="I23" s="51"/>
      <c r="L23" s="58"/>
      <c r="M23" s="55"/>
      <c r="N23" s="55"/>
      <c r="O23" s="55"/>
      <c r="P23" s="55"/>
      <c r="Q23" s="55"/>
    </row>
    <row r="24" spans="1:17" ht="15.6">
      <c r="A24" s="40"/>
      <c r="B24" s="43" t="s">
        <v>15</v>
      </c>
      <c r="C24" s="4">
        <v>-335327</v>
      </c>
      <c r="D24" s="4">
        <f>C24+112211-160807.85</f>
        <v>-383923.85</v>
      </c>
      <c r="E24" s="4">
        <v>-344048.42</v>
      </c>
      <c r="F24" s="4">
        <v>-1752953.03</v>
      </c>
      <c r="G24" s="4">
        <f t="shared" si="9"/>
        <v>39875.429999999993</v>
      </c>
      <c r="L24" s="59"/>
      <c r="M24" s="55"/>
      <c r="N24" s="55"/>
      <c r="O24" s="55"/>
      <c r="P24" s="55"/>
      <c r="Q24" s="55"/>
    </row>
    <row r="25" spans="1:17" s="25" customFormat="1" ht="15.6">
      <c r="A25" s="39" t="s">
        <v>22</v>
      </c>
      <c r="B25" s="42"/>
      <c r="C25" s="5">
        <f>C27+C29</f>
        <v>-3537231022</v>
      </c>
      <c r="D25" s="5">
        <f t="shared" ref="D25:G25" si="11">D27+D29</f>
        <v>-3538896743.1599998</v>
      </c>
      <c r="E25" s="5">
        <f t="shared" si="11"/>
        <v>-3501493009.1500001</v>
      </c>
      <c r="F25" s="5">
        <f t="shared" ref="F25" si="12">F27+F29</f>
        <v>-3426233428.0300002</v>
      </c>
      <c r="G25" s="5">
        <f t="shared" si="11"/>
        <v>37403734.009999901</v>
      </c>
      <c r="H25" s="33"/>
      <c r="I25" s="33"/>
      <c r="J25" s="29"/>
      <c r="K25" s="29"/>
      <c r="L25" s="56"/>
      <c r="M25" s="57"/>
      <c r="N25" s="57"/>
      <c r="O25" s="57"/>
      <c r="P25" s="57"/>
      <c r="Q25" s="57"/>
    </row>
    <row r="26" spans="1:17" ht="15.6">
      <c r="A26" s="40"/>
      <c r="B26" s="43" t="s">
        <v>15</v>
      </c>
      <c r="C26" s="4">
        <f>C28+C30</f>
        <v>-6556416</v>
      </c>
      <c r="D26" s="4">
        <f t="shared" ref="D26:G26" si="13">D28+D30</f>
        <v>-7888843.9900000002</v>
      </c>
      <c r="E26" s="4">
        <f t="shared" si="13"/>
        <v>-6661355.9099999992</v>
      </c>
      <c r="F26" s="4">
        <f t="shared" ref="F26" si="14">F28+F30</f>
        <v>-10070814.710000001</v>
      </c>
      <c r="G26" s="4">
        <f t="shared" si="13"/>
        <v>1227488.0800000005</v>
      </c>
      <c r="L26" s="59"/>
      <c r="M26" s="55"/>
      <c r="N26" s="55"/>
      <c r="O26" s="55"/>
      <c r="P26" s="55"/>
      <c r="Q26" s="55"/>
    </row>
    <row r="27" spans="1:17" ht="15.6">
      <c r="A27" s="40" t="s">
        <v>23</v>
      </c>
      <c r="B27" s="43"/>
      <c r="C27" s="4">
        <v>-650551</v>
      </c>
      <c r="D27" s="4">
        <f>C27+71602+518151-531866.66</f>
        <v>-592664.66</v>
      </c>
      <c r="E27" s="4">
        <v>-235235.5</v>
      </c>
      <c r="F27" s="4">
        <v>-3934700</v>
      </c>
      <c r="G27" s="4">
        <f t="shared" ref="G27:G30" si="15">E27-D27</f>
        <v>357429.16000000003</v>
      </c>
      <c r="L27" s="58"/>
      <c r="M27" s="55"/>
      <c r="N27" s="55"/>
      <c r="O27" s="55"/>
      <c r="P27" s="55"/>
      <c r="Q27" s="55"/>
    </row>
    <row r="28" spans="1:17" ht="15.6">
      <c r="A28" s="40"/>
      <c r="B28" s="43" t="s">
        <v>15</v>
      </c>
      <c r="C28" s="4">
        <v>-132400</v>
      </c>
      <c r="D28" s="4">
        <f>C28+71602-113720.16</f>
        <v>-174518.16</v>
      </c>
      <c r="E28" s="4">
        <v>-173190.56</v>
      </c>
      <c r="F28" s="4">
        <v>-3934700</v>
      </c>
      <c r="G28" s="4">
        <f t="shared" si="15"/>
        <v>1327.6000000000058</v>
      </c>
      <c r="L28" s="59"/>
      <c r="M28" s="55"/>
      <c r="N28" s="55"/>
      <c r="O28" s="55"/>
      <c r="P28" s="55"/>
      <c r="Q28" s="55"/>
    </row>
    <row r="29" spans="1:17" ht="15.6">
      <c r="A29" s="40" t="s">
        <v>24</v>
      </c>
      <c r="B29" s="43"/>
      <c r="C29" s="4">
        <v>-3536580471</v>
      </c>
      <c r="D29" s="4">
        <f>C29+155848-645808+334027-1567674.5</f>
        <v>-3538304078.5</v>
      </c>
      <c r="E29" s="4">
        <v>-3501257773.6500001</v>
      </c>
      <c r="F29" s="4">
        <v>-3422298728.0300002</v>
      </c>
      <c r="G29" s="4">
        <f t="shared" si="15"/>
        <v>37046304.849999905</v>
      </c>
      <c r="L29" s="58"/>
      <c r="M29" s="55"/>
      <c r="N29" s="55"/>
      <c r="O29" s="55"/>
      <c r="P29" s="55"/>
      <c r="Q29" s="55"/>
    </row>
    <row r="30" spans="1:17" ht="15.6">
      <c r="A30" s="40"/>
      <c r="B30" s="43" t="s">
        <v>15</v>
      </c>
      <c r="C30" s="4">
        <v>-6424016</v>
      </c>
      <c r="D30" s="4">
        <f>C30+155848-645808-800348.83-1</f>
        <v>-7714325.8300000001</v>
      </c>
      <c r="E30" s="4">
        <v>-6488165.3499999996</v>
      </c>
      <c r="F30" s="4">
        <v>-6136114.71</v>
      </c>
      <c r="G30" s="4">
        <f t="shared" si="15"/>
        <v>1226160.4800000004</v>
      </c>
      <c r="L30" s="59"/>
      <c r="M30" s="55"/>
      <c r="N30" s="55"/>
      <c r="O30" s="55"/>
      <c r="P30" s="55"/>
      <c r="Q30" s="55"/>
    </row>
    <row r="31" spans="1:17" ht="15.6">
      <c r="A31" s="41" t="s">
        <v>25</v>
      </c>
      <c r="B31" s="41"/>
      <c r="C31" s="5">
        <f>C33+C35</f>
        <v>-154169585</v>
      </c>
      <c r="D31" s="5">
        <f t="shared" ref="D31:G31" si="16">D33+D35</f>
        <v>-158383019.17000002</v>
      </c>
      <c r="E31" s="5">
        <f t="shared" si="16"/>
        <v>-140363691.31999999</v>
      </c>
      <c r="F31" s="5">
        <f t="shared" ref="F31" si="17">F33+F35</f>
        <v>-162906590.66999999</v>
      </c>
      <c r="G31" s="5">
        <f t="shared" si="16"/>
        <v>18019327.849999998</v>
      </c>
      <c r="L31" s="57"/>
      <c r="M31" s="57"/>
      <c r="N31" s="57"/>
      <c r="O31" s="57"/>
      <c r="P31" s="57"/>
      <c r="Q31" s="57"/>
    </row>
    <row r="32" spans="1:17" ht="15.6">
      <c r="A32" s="47"/>
      <c r="B32" s="43" t="s">
        <v>15</v>
      </c>
      <c r="C32" s="4">
        <f>C34+C36</f>
        <v>-68378282</v>
      </c>
      <c r="D32" s="4">
        <f t="shared" ref="D32:G32" si="18">D34+D36</f>
        <v>-80372884.810000002</v>
      </c>
      <c r="E32" s="4">
        <f t="shared" si="18"/>
        <v>-71388571.370000005</v>
      </c>
      <c r="F32" s="4">
        <f t="shared" ref="F32" si="19">F34+F36</f>
        <v>-72213960.319999993</v>
      </c>
      <c r="G32" s="4">
        <f t="shared" si="18"/>
        <v>8984313.4399999958</v>
      </c>
      <c r="H32" s="32"/>
      <c r="I32" s="32"/>
      <c r="L32" s="59"/>
      <c r="M32" s="55"/>
      <c r="N32" s="55"/>
      <c r="O32" s="55"/>
      <c r="P32" s="55"/>
      <c r="Q32" s="55"/>
    </row>
    <row r="33" spans="1:17" ht="15.6">
      <c r="A33" s="47" t="s">
        <v>26</v>
      </c>
      <c r="B33" s="43"/>
      <c r="C33" s="4">
        <v>-14135320</v>
      </c>
      <c r="D33" s="4">
        <f>C33+2018250-348755+9908193-6751839.64</f>
        <v>-9309471.6400000006</v>
      </c>
      <c r="E33" s="4">
        <v>-6481172.4800000004</v>
      </c>
      <c r="F33" s="4">
        <v>-6918693.0099999998</v>
      </c>
      <c r="G33" s="4">
        <f t="shared" ref="G33:G36" si="20">E33-D33</f>
        <v>2828299.16</v>
      </c>
      <c r="H33" s="32"/>
      <c r="L33" s="58"/>
      <c r="M33" s="55"/>
      <c r="N33" s="55"/>
      <c r="O33" s="55"/>
      <c r="P33" s="55"/>
      <c r="Q33" s="55"/>
    </row>
    <row r="34" spans="1:17" ht="15.6">
      <c r="A34" s="47"/>
      <c r="B34" s="43" t="s">
        <v>15</v>
      </c>
      <c r="C34" s="4">
        <v>-4200404</v>
      </c>
      <c r="D34" s="4">
        <f>C34+2018250-348755-2466552.31</f>
        <v>-4997461.3100000005</v>
      </c>
      <c r="E34" s="4">
        <v>-3850540</v>
      </c>
      <c r="F34" s="4">
        <v>-4383500.38</v>
      </c>
      <c r="G34" s="4">
        <f t="shared" si="20"/>
        <v>1146921.3100000005</v>
      </c>
      <c r="L34" s="59"/>
      <c r="M34" s="55"/>
      <c r="N34" s="55"/>
      <c r="O34" s="55"/>
      <c r="P34" s="55"/>
      <c r="Q34" s="55"/>
    </row>
    <row r="35" spans="1:17" ht="15.6">
      <c r="A35" s="47" t="s">
        <v>27</v>
      </c>
      <c r="B35" s="43"/>
      <c r="C35" s="4">
        <v>-140034265</v>
      </c>
      <c r="D35" s="4">
        <f>C35+426615-928009+14857116-23395004.53</f>
        <v>-149073547.53</v>
      </c>
      <c r="E35" s="4">
        <v>-133882518.84</v>
      </c>
      <c r="F35" s="4">
        <v>-155987897.66</v>
      </c>
      <c r="G35" s="4">
        <f t="shared" si="20"/>
        <v>15191028.689999998</v>
      </c>
      <c r="H35" s="32"/>
      <c r="L35" s="58"/>
      <c r="M35" s="55"/>
      <c r="N35" s="55"/>
      <c r="O35" s="55"/>
      <c r="P35" s="55"/>
      <c r="Q35" s="55"/>
    </row>
    <row r="36" spans="1:17" ht="15.6">
      <c r="A36" s="47"/>
      <c r="B36" s="43" t="s">
        <v>15</v>
      </c>
      <c r="C36" s="4">
        <v>-64177878</v>
      </c>
      <c r="D36" s="4">
        <f>C36+426615-928009-10696151.5</f>
        <v>-75375423.5</v>
      </c>
      <c r="E36" s="4">
        <v>-67538031.370000005</v>
      </c>
      <c r="F36" s="4">
        <v>-67830459.939999998</v>
      </c>
      <c r="G36" s="4">
        <f t="shared" si="20"/>
        <v>7837392.1299999952</v>
      </c>
      <c r="H36" s="32"/>
      <c r="L36" s="59"/>
      <c r="M36" s="55"/>
      <c r="N36" s="55"/>
      <c r="O36" s="55"/>
      <c r="P36" s="55"/>
      <c r="Q36" s="55"/>
    </row>
    <row r="37" spans="1:17" ht="15.6">
      <c r="A37" s="39" t="s">
        <v>28</v>
      </c>
      <c r="B37" s="44"/>
      <c r="C37" s="5">
        <f>C39+C41+C43+C45+C47</f>
        <v>-1001126053</v>
      </c>
      <c r="D37" s="5">
        <f t="shared" ref="D37:G37" si="21">D39+D41+D43+D45+D47</f>
        <v>-1006857144.3799999</v>
      </c>
      <c r="E37" s="5">
        <f t="shared" si="21"/>
        <v>-932836027.40999997</v>
      </c>
      <c r="F37" s="5">
        <f t="shared" ref="F37" si="22">F39+F41+F43+F45+F47</f>
        <v>-998398711.81000006</v>
      </c>
      <c r="G37" s="5">
        <f t="shared" si="21"/>
        <v>74021116.969999984</v>
      </c>
      <c r="L37" s="56"/>
      <c r="M37" s="57"/>
      <c r="N37" s="57"/>
      <c r="O37" s="57"/>
      <c r="P37" s="57"/>
      <c r="Q37" s="57"/>
    </row>
    <row r="38" spans="1:17" ht="15.6">
      <c r="A38" s="40"/>
      <c r="B38" s="43" t="s">
        <v>15</v>
      </c>
      <c r="C38" s="4">
        <f>C40+C42+C44+C46+C48</f>
        <v>-44399902</v>
      </c>
      <c r="D38" s="4">
        <f t="shared" ref="D38:G38" si="23">D40+D42+D44+D46+D48</f>
        <v>-49433850.75</v>
      </c>
      <c r="E38" s="4">
        <f t="shared" si="23"/>
        <v>-39357888.789999999</v>
      </c>
      <c r="F38" s="4">
        <f t="shared" ref="F38" si="24">F40+F42+F44+F46+F48</f>
        <v>-35423735.590000004</v>
      </c>
      <c r="G38" s="4">
        <f t="shared" si="23"/>
        <v>10075961.959999999</v>
      </c>
      <c r="H38" s="32"/>
      <c r="I38" s="32"/>
      <c r="L38" s="59"/>
      <c r="M38" s="55"/>
      <c r="N38" s="55"/>
      <c r="O38" s="55"/>
      <c r="P38" s="55"/>
      <c r="Q38" s="55"/>
    </row>
    <row r="39" spans="1:17" ht="15.6">
      <c r="A39" s="40" t="s">
        <v>29</v>
      </c>
      <c r="B39" s="43"/>
      <c r="C39" s="4">
        <v>-950781165</v>
      </c>
      <c r="D39" s="4">
        <f>C39+57400-573991-833803.93</f>
        <v>-952131559.92999995</v>
      </c>
      <c r="E39" s="4">
        <v>-891899765.90999997</v>
      </c>
      <c r="F39" s="4">
        <v>-960503247.24000001</v>
      </c>
      <c r="G39" s="4">
        <f t="shared" ref="G39:G42" si="25">E39-D39</f>
        <v>60231794.019999981</v>
      </c>
      <c r="L39" s="58"/>
      <c r="M39" s="55"/>
      <c r="N39" s="55"/>
      <c r="O39" s="55"/>
      <c r="P39" s="55"/>
      <c r="Q39" s="55"/>
    </row>
    <row r="40" spans="1:17" ht="15.6">
      <c r="A40" s="40"/>
      <c r="B40" s="43" t="s">
        <v>15</v>
      </c>
      <c r="C40" s="4">
        <v>-5624166</v>
      </c>
      <c r="D40" s="4">
        <f>C40+57400-573991-693017.33</f>
        <v>-6833774.3300000001</v>
      </c>
      <c r="E40" s="4">
        <v>-5904059.2300000004</v>
      </c>
      <c r="F40" s="4">
        <v>-6037930.7800000003</v>
      </c>
      <c r="G40" s="4">
        <f t="shared" si="25"/>
        <v>929715.09999999963</v>
      </c>
      <c r="L40" s="59"/>
      <c r="M40" s="55"/>
      <c r="N40" s="55"/>
      <c r="O40" s="55"/>
      <c r="P40" s="55"/>
      <c r="Q40" s="55"/>
    </row>
    <row r="41" spans="1:17" ht="15.6">
      <c r="A41" s="40" t="s">
        <v>30</v>
      </c>
      <c r="B41" s="43"/>
      <c r="C41" s="4">
        <v>-34363794</v>
      </c>
      <c r="D41" s="4">
        <f>C41+1069560+606182+4329654-5633764.61</f>
        <v>-33992162.609999999</v>
      </c>
      <c r="E41" s="4">
        <v>-26989054.93</v>
      </c>
      <c r="F41" s="4">
        <v>-25018438.260000002</v>
      </c>
      <c r="G41" s="4">
        <f t="shared" si="25"/>
        <v>7003107.6799999997</v>
      </c>
      <c r="H41" s="32"/>
      <c r="L41" s="58"/>
      <c r="M41" s="55"/>
      <c r="N41" s="55"/>
      <c r="O41" s="55"/>
      <c r="P41" s="55"/>
      <c r="Q41" s="55"/>
    </row>
    <row r="42" spans="1:17" ht="15.6">
      <c r="A42" s="40"/>
      <c r="B42" s="43" t="s">
        <v>15</v>
      </c>
      <c r="C42" s="4">
        <v>-27250760</v>
      </c>
      <c r="D42" s="4">
        <f>C42+1069560+606182-3915345.6</f>
        <v>-29490363.600000001</v>
      </c>
      <c r="E42" s="4">
        <v>-22689019.23</v>
      </c>
      <c r="F42" s="4">
        <v>-19865604.899999999</v>
      </c>
      <c r="G42" s="4">
        <f t="shared" si="25"/>
        <v>6801344.370000001</v>
      </c>
      <c r="L42" s="59"/>
      <c r="M42" s="55"/>
      <c r="N42" s="55"/>
      <c r="O42" s="55"/>
      <c r="P42" s="55"/>
      <c r="Q42" s="55"/>
    </row>
    <row r="43" spans="1:17" ht="15.6">
      <c r="A43" s="40" t="s">
        <v>31</v>
      </c>
      <c r="B43" s="43"/>
      <c r="C43" s="4">
        <v>-2438830</v>
      </c>
      <c r="D43" s="4">
        <f>C43+27240+26618+198438-3066628.17</f>
        <v>-5253162.17</v>
      </c>
      <c r="E43" s="4">
        <v>-2675094.54</v>
      </c>
      <c r="F43" s="4">
        <v>-2840289.19</v>
      </c>
      <c r="G43" s="4">
        <f t="shared" ref="G43:G48" si="26">E43-D43</f>
        <v>2578067.63</v>
      </c>
      <c r="H43" s="32"/>
      <c r="L43" s="58"/>
      <c r="M43" s="55"/>
      <c r="N43" s="55"/>
      <c r="O43" s="55"/>
      <c r="P43" s="55"/>
      <c r="Q43" s="55"/>
    </row>
    <row r="44" spans="1:17" ht="15.6">
      <c r="A44" s="40"/>
      <c r="B44" s="43" t="s">
        <v>15</v>
      </c>
      <c r="C44" s="4">
        <v>-2045443</v>
      </c>
      <c r="D44" s="4">
        <f>C44+27240+26618-446959.37</f>
        <v>-2438544.37</v>
      </c>
      <c r="E44" s="4">
        <v>-2165464.35</v>
      </c>
      <c r="F44" s="4">
        <v>-1920987.43</v>
      </c>
      <c r="G44" s="4">
        <f t="shared" si="26"/>
        <v>273080.02</v>
      </c>
      <c r="H44" s="32"/>
      <c r="L44" s="59"/>
      <c r="M44" s="55"/>
      <c r="N44" s="55"/>
      <c r="O44" s="55"/>
      <c r="P44" s="55"/>
      <c r="Q44" s="55"/>
    </row>
    <row r="45" spans="1:17" ht="15.6">
      <c r="A45" s="40" t="s">
        <v>32</v>
      </c>
      <c r="B45" s="43"/>
      <c r="C45" s="4">
        <v>-5122236</v>
      </c>
      <c r="D45" s="4">
        <f>C45+731322+211449+2033149-3912284.25</f>
        <v>-6058600.25</v>
      </c>
      <c r="E45" s="4">
        <v>-3734215.34</v>
      </c>
      <c r="F45" s="4">
        <v>-2334172.96</v>
      </c>
      <c r="G45" s="4">
        <f t="shared" si="26"/>
        <v>2324384.91</v>
      </c>
      <c r="L45" s="58"/>
      <c r="M45" s="55"/>
      <c r="N45" s="55"/>
      <c r="O45" s="55"/>
      <c r="P45" s="55"/>
      <c r="Q45" s="55"/>
    </row>
    <row r="46" spans="1:17" ht="15.6">
      <c r="A46" s="40"/>
      <c r="B46" s="43" t="s">
        <v>15</v>
      </c>
      <c r="C46" s="4">
        <v>-3080439</v>
      </c>
      <c r="D46" s="4">
        <f>C46+731322+211449-1507832.75</f>
        <v>-3645500.75</v>
      </c>
      <c r="E46" s="4">
        <v>-2734540.29</v>
      </c>
      <c r="F46" s="4">
        <v>-1803739.8</v>
      </c>
      <c r="G46" s="4">
        <f t="shared" si="26"/>
        <v>910960.46</v>
      </c>
      <c r="H46" s="32"/>
      <c r="L46" s="59"/>
      <c r="M46" s="55"/>
      <c r="N46" s="55"/>
      <c r="O46" s="55"/>
      <c r="P46" s="55"/>
      <c r="Q46" s="55"/>
    </row>
    <row r="47" spans="1:17" ht="15.6">
      <c r="A47" s="40" t="s">
        <v>33</v>
      </c>
      <c r="B47" s="43"/>
      <c r="C47" s="4">
        <v>-8420028</v>
      </c>
      <c r="D47" s="4">
        <f>C47+131120+530811+97021-1760583.42</f>
        <v>-9421659.4199999999</v>
      </c>
      <c r="E47" s="4">
        <v>-7537896.6900000004</v>
      </c>
      <c r="F47" s="4">
        <v>-7702564.1600000001</v>
      </c>
      <c r="G47" s="4">
        <f t="shared" si="26"/>
        <v>1883762.7299999995</v>
      </c>
      <c r="H47" s="32"/>
      <c r="L47" s="58"/>
      <c r="M47" s="55"/>
      <c r="N47" s="55"/>
      <c r="O47" s="55"/>
      <c r="P47" s="55"/>
      <c r="Q47" s="55"/>
    </row>
    <row r="48" spans="1:17" ht="15.6">
      <c r="A48" s="40"/>
      <c r="B48" s="43" t="s">
        <v>15</v>
      </c>
      <c r="C48" s="4">
        <v>-6399094</v>
      </c>
      <c r="D48" s="4">
        <f>C48+131120+530811-1288504.7</f>
        <v>-7025667.7000000002</v>
      </c>
      <c r="E48" s="4">
        <v>-5864805.6900000004</v>
      </c>
      <c r="F48" s="4">
        <v>-5795472.6799999997</v>
      </c>
      <c r="G48" s="4">
        <f t="shared" si="26"/>
        <v>1160862.0099999998</v>
      </c>
      <c r="H48" s="32"/>
      <c r="I48" s="32"/>
      <c r="L48" s="59"/>
      <c r="M48" s="55"/>
      <c r="N48" s="55"/>
      <c r="O48" s="55"/>
      <c r="P48" s="55"/>
      <c r="Q48" s="55"/>
    </row>
    <row r="49" spans="1:17" ht="15.6">
      <c r="A49" s="48" t="s">
        <v>34</v>
      </c>
      <c r="B49" s="39"/>
      <c r="C49" s="5">
        <f>C51+C53+C55</f>
        <v>-646288</v>
      </c>
      <c r="D49" s="5">
        <f t="shared" ref="D49:G49" si="27">D51+D53+D55</f>
        <v>-1331474.6400000001</v>
      </c>
      <c r="E49" s="5">
        <f t="shared" si="27"/>
        <v>-784414.55</v>
      </c>
      <c r="F49" s="5">
        <f t="shared" ref="F49" si="28">F51+F53+F55</f>
        <v>-1307454.33</v>
      </c>
      <c r="G49" s="5">
        <f t="shared" si="27"/>
        <v>547060.09000000008</v>
      </c>
      <c r="L49" s="34"/>
      <c r="M49" s="57"/>
      <c r="N49" s="57"/>
      <c r="O49" s="57"/>
      <c r="P49" s="57"/>
      <c r="Q49" s="57"/>
    </row>
    <row r="50" spans="1:17" ht="15.6">
      <c r="A50" s="40"/>
      <c r="B50" s="43" t="s">
        <v>15</v>
      </c>
      <c r="C50" s="4">
        <f>C52+C54+C56</f>
        <v>-628028</v>
      </c>
      <c r="D50" s="4">
        <f t="shared" ref="D50:G50" si="29">D52+D54+D56</f>
        <v>-830986.03</v>
      </c>
      <c r="E50" s="4">
        <f t="shared" si="29"/>
        <v>-708829.13</v>
      </c>
      <c r="F50" s="4">
        <f t="shared" ref="F50" si="30">F52+F54+F56</f>
        <v>-1129310.8799999999</v>
      </c>
      <c r="G50" s="4">
        <f t="shared" si="29"/>
        <v>122156.90000000002</v>
      </c>
      <c r="H50" s="32"/>
      <c r="I50" s="32"/>
      <c r="L50" s="59"/>
      <c r="M50" s="55"/>
      <c r="N50" s="55"/>
      <c r="O50" s="55"/>
      <c r="P50" s="55"/>
      <c r="Q50" s="55"/>
    </row>
    <row r="51" spans="1:17" ht="15.6">
      <c r="A51" s="49" t="s">
        <v>35</v>
      </c>
      <c r="B51" s="43"/>
      <c r="C51" s="4">
        <v>0</v>
      </c>
      <c r="D51" s="4">
        <f t="shared" ref="D51:D54" si="31">C51</f>
        <v>0</v>
      </c>
      <c r="E51" s="4">
        <v>0</v>
      </c>
      <c r="F51" s="4">
        <v>-303171.38</v>
      </c>
      <c r="G51" s="4">
        <f t="shared" ref="G51:G56" si="32">E51-D51</f>
        <v>0</v>
      </c>
      <c r="H51" s="51"/>
      <c r="I51" s="51"/>
      <c r="L51" s="58"/>
      <c r="M51" s="55"/>
      <c r="N51" s="55"/>
      <c r="O51" s="55"/>
      <c r="P51" s="55"/>
      <c r="Q51" s="55"/>
    </row>
    <row r="52" spans="1:17" ht="15.6">
      <c r="A52" s="47"/>
      <c r="B52" s="43" t="s">
        <v>15</v>
      </c>
      <c r="C52" s="4">
        <v>0</v>
      </c>
      <c r="D52" s="4">
        <f t="shared" si="31"/>
        <v>0</v>
      </c>
      <c r="E52" s="4">
        <v>0</v>
      </c>
      <c r="F52" s="4">
        <v>-294774.75</v>
      </c>
      <c r="G52" s="4">
        <f t="shared" si="32"/>
        <v>0</v>
      </c>
      <c r="H52" s="50"/>
      <c r="I52" s="50"/>
      <c r="L52" s="59"/>
      <c r="M52" s="55"/>
      <c r="N52" s="55"/>
      <c r="O52" s="55"/>
      <c r="P52" s="55"/>
      <c r="Q52" s="55"/>
    </row>
    <row r="53" spans="1:17" ht="15.6">
      <c r="A53" s="40" t="s">
        <v>36</v>
      </c>
      <c r="B53" s="43"/>
      <c r="C53" s="4">
        <v>0</v>
      </c>
      <c r="D53" s="4">
        <f t="shared" si="31"/>
        <v>0</v>
      </c>
      <c r="E53" s="4">
        <v>0</v>
      </c>
      <c r="F53" s="4">
        <v>-442948.61</v>
      </c>
      <c r="G53" s="4">
        <f t="shared" si="32"/>
        <v>0</v>
      </c>
      <c r="L53" s="58"/>
      <c r="M53" s="55"/>
      <c r="N53" s="55"/>
      <c r="O53" s="55"/>
      <c r="P53" s="55"/>
      <c r="Q53" s="55"/>
    </row>
    <row r="54" spans="1:17" ht="15.6">
      <c r="A54" s="40"/>
      <c r="B54" s="43" t="s">
        <v>15</v>
      </c>
      <c r="C54" s="4">
        <v>0</v>
      </c>
      <c r="D54" s="4">
        <f t="shared" si="31"/>
        <v>0</v>
      </c>
      <c r="E54" s="4">
        <v>0</v>
      </c>
      <c r="F54" s="4">
        <v>-302774.14</v>
      </c>
      <c r="G54" s="4">
        <f t="shared" si="32"/>
        <v>0</v>
      </c>
      <c r="H54" s="32"/>
      <c r="I54" s="32"/>
      <c r="L54" s="59"/>
      <c r="M54" s="55"/>
      <c r="N54" s="55"/>
      <c r="O54" s="55"/>
      <c r="P54" s="55"/>
      <c r="Q54" s="55"/>
    </row>
    <row r="55" spans="1:17" ht="15.6">
      <c r="A55" s="40" t="s">
        <v>37</v>
      </c>
      <c r="B55" s="43"/>
      <c r="C55" s="4">
        <v>-646288</v>
      </c>
      <c r="D55" s="4">
        <f>C55+50000-34227-700959.64</f>
        <v>-1331474.6400000001</v>
      </c>
      <c r="E55" s="4">
        <v>-784414.55</v>
      </c>
      <c r="F55" s="4">
        <v>-561334.34</v>
      </c>
      <c r="G55" s="4">
        <f t="shared" si="32"/>
        <v>547060.09000000008</v>
      </c>
      <c r="L55" s="58"/>
      <c r="M55" s="55"/>
      <c r="N55" s="55"/>
      <c r="O55" s="55"/>
      <c r="P55" s="55"/>
      <c r="Q55" s="55"/>
    </row>
    <row r="56" spans="1:17" ht="15.6">
      <c r="A56" s="40"/>
      <c r="B56" s="43" t="s">
        <v>15</v>
      </c>
      <c r="C56" s="4">
        <v>-628028</v>
      </c>
      <c r="D56" s="4">
        <f>C56+50000-34227-218731.03</f>
        <v>-830986.03</v>
      </c>
      <c r="E56" s="4">
        <v>-708829.13</v>
      </c>
      <c r="F56" s="4">
        <v>-531761.99</v>
      </c>
      <c r="G56" s="4">
        <f t="shared" si="32"/>
        <v>122156.90000000002</v>
      </c>
      <c r="L56" s="59"/>
      <c r="M56" s="55"/>
      <c r="N56" s="55"/>
      <c r="O56" s="55"/>
      <c r="P56" s="55"/>
      <c r="Q56" s="55"/>
    </row>
    <row r="57" spans="1:17" ht="15.6">
      <c r="A57" s="39" t="s">
        <v>38</v>
      </c>
      <c r="B57" s="6"/>
      <c r="C57" s="5">
        <f t="shared" ref="C57:G58" si="33">C59+C69+C81</f>
        <v>-2499491900</v>
      </c>
      <c r="D57" s="5">
        <f t="shared" si="33"/>
        <v>-2529231826.2599998</v>
      </c>
      <c r="E57" s="5">
        <f t="shared" si="33"/>
        <v>-2472892393.0099998</v>
      </c>
      <c r="F57" s="5">
        <f t="shared" ref="F57" si="34">F59+F69+F81</f>
        <v>-2396425907.6900005</v>
      </c>
      <c r="G57" s="5">
        <f t="shared" si="33"/>
        <v>56339433.249999806</v>
      </c>
      <c r="L57" s="56"/>
      <c r="M57" s="57"/>
      <c r="N57" s="57"/>
      <c r="O57" s="57"/>
      <c r="P57" s="57"/>
      <c r="Q57" s="57"/>
    </row>
    <row r="58" spans="1:17" ht="15.6">
      <c r="A58" s="39"/>
      <c r="B58" s="43" t="s">
        <v>15</v>
      </c>
      <c r="C58" s="4">
        <f t="shared" si="33"/>
        <v>-206887836</v>
      </c>
      <c r="D58" s="4">
        <f t="shared" si="33"/>
        <v>-226170825.34</v>
      </c>
      <c r="E58" s="4">
        <f t="shared" si="33"/>
        <v>-210642820.34999999</v>
      </c>
      <c r="F58" s="4">
        <f t="shared" ref="F58" si="35">F60+F70+F82</f>
        <v>-238822493.14000005</v>
      </c>
      <c r="G58" s="4">
        <f t="shared" si="33"/>
        <v>15528004.989999983</v>
      </c>
      <c r="L58" s="59"/>
      <c r="M58" s="55"/>
      <c r="N58" s="55"/>
      <c r="O58" s="55"/>
      <c r="P58" s="55"/>
      <c r="Q58" s="55"/>
    </row>
    <row r="59" spans="1:17" ht="15.6">
      <c r="A59" s="41" t="s">
        <v>39</v>
      </c>
      <c r="B59" s="39"/>
      <c r="C59" s="5">
        <f>C61+C63+C65+C67</f>
        <v>-9781388</v>
      </c>
      <c r="D59" s="5">
        <f t="shared" ref="D59:E59" si="36">D61+D63+D65+D67</f>
        <v>-13908754.970000001</v>
      </c>
      <c r="E59" s="5">
        <f t="shared" si="36"/>
        <v>-10972721.920000002</v>
      </c>
      <c r="F59" s="5">
        <f t="shared" ref="F59" si="37">F61+F63+F65+F67</f>
        <v>-10303408.370000001</v>
      </c>
      <c r="G59" s="5">
        <f t="shared" ref="G59" si="38">G61+G63+G65+G67</f>
        <v>2936033.05</v>
      </c>
      <c r="L59" s="57"/>
      <c r="M59" s="57"/>
      <c r="N59" s="57"/>
      <c r="O59" s="57"/>
      <c r="P59" s="57"/>
      <c r="Q59" s="57"/>
    </row>
    <row r="60" spans="1:17" ht="15.6">
      <c r="A60" s="40"/>
      <c r="B60" s="43" t="s">
        <v>15</v>
      </c>
      <c r="C60" s="4">
        <f>C62+C64+C66+C68</f>
        <v>-6642240</v>
      </c>
      <c r="D60" s="4">
        <f t="shared" ref="D60:E60" si="39">D62+D64+D66+D68</f>
        <v>-8774635.5800000001</v>
      </c>
      <c r="E60" s="4">
        <f t="shared" si="39"/>
        <v>-8147222.4199999999</v>
      </c>
      <c r="F60" s="4">
        <f t="shared" ref="F60" si="40">F62+F64+F66+F68</f>
        <v>-7638797.4900000002</v>
      </c>
      <c r="G60" s="4">
        <f t="shared" ref="G60" si="41">G62+G64+G66+G68</f>
        <v>627413.16</v>
      </c>
      <c r="H60" s="32"/>
      <c r="I60" s="32"/>
      <c r="L60" s="59"/>
      <c r="M60" s="55"/>
      <c r="N60" s="55"/>
      <c r="O60" s="55"/>
      <c r="P60" s="55"/>
      <c r="Q60" s="55"/>
    </row>
    <row r="61" spans="1:17" ht="15.6">
      <c r="A61" s="40" t="s">
        <v>40</v>
      </c>
      <c r="B61" s="43"/>
      <c r="C61" s="4">
        <v>-1021253</v>
      </c>
      <c r="D61" s="4">
        <f>C61+60376+52418+22108-1185257.12</f>
        <v>-2071608.12</v>
      </c>
      <c r="E61" s="4">
        <v>-968682.46</v>
      </c>
      <c r="F61" s="4">
        <v>-953414.38</v>
      </c>
      <c r="G61" s="4">
        <f t="shared" ref="G61:G68" si="42">E61-D61</f>
        <v>1102925.6600000001</v>
      </c>
      <c r="H61" s="32"/>
      <c r="I61" s="32"/>
      <c r="L61" s="58"/>
      <c r="M61" s="55"/>
      <c r="N61" s="55"/>
      <c r="O61" s="55"/>
      <c r="P61" s="55"/>
      <c r="Q61" s="55"/>
    </row>
    <row r="62" spans="1:17" ht="15.6">
      <c r="A62" s="40"/>
      <c r="B62" s="43" t="s">
        <v>15</v>
      </c>
      <c r="C62" s="4">
        <v>-995505</v>
      </c>
      <c r="D62" s="4">
        <f>C62+60376+52418-388097.6</f>
        <v>-1270808.6000000001</v>
      </c>
      <c r="E62" s="4">
        <v>-870968.13</v>
      </c>
      <c r="F62" s="4">
        <v>-880915.96</v>
      </c>
      <c r="G62" s="4">
        <f t="shared" si="42"/>
        <v>399840.47000000009</v>
      </c>
      <c r="H62" s="32"/>
      <c r="I62" s="32"/>
      <c r="L62" s="59"/>
      <c r="M62" s="55"/>
      <c r="N62" s="55"/>
      <c r="O62" s="55"/>
      <c r="P62" s="55"/>
      <c r="Q62" s="55"/>
    </row>
    <row r="63" spans="1:17" ht="15.6">
      <c r="A63" s="40" t="s">
        <v>41</v>
      </c>
      <c r="B63" s="43"/>
      <c r="C63" s="4">
        <v>-3052248</v>
      </c>
      <c r="D63" s="4">
        <f>C63+16426-134070+947833-1931392.8</f>
        <v>-4153451.8</v>
      </c>
      <c r="E63" s="4">
        <v>-3157516.08</v>
      </c>
      <c r="F63" s="4">
        <v>-2863999.03</v>
      </c>
      <c r="G63" s="4">
        <f t="shared" si="42"/>
        <v>995935.71999999974</v>
      </c>
      <c r="H63" s="32"/>
      <c r="I63" s="32"/>
      <c r="L63" s="58"/>
      <c r="M63" s="55"/>
      <c r="N63" s="55"/>
      <c r="O63" s="55"/>
      <c r="P63" s="55"/>
      <c r="Q63" s="55"/>
    </row>
    <row r="64" spans="1:17" ht="15.6">
      <c r="A64" s="40"/>
      <c r="B64" s="43" t="s">
        <v>15</v>
      </c>
      <c r="C64" s="4">
        <v>-2019233</v>
      </c>
      <c r="D64" s="4">
        <f>C64+16426-134070-462166.16</f>
        <v>-2599043.16</v>
      </c>
      <c r="E64" s="4">
        <v>-2476952.02</v>
      </c>
      <c r="F64" s="4">
        <v>-2280600.0099999998</v>
      </c>
      <c r="G64" s="4">
        <f t="shared" si="42"/>
        <v>122091.14000000013</v>
      </c>
      <c r="H64" s="32"/>
      <c r="I64" s="32"/>
      <c r="L64" s="59"/>
      <c r="M64" s="55"/>
      <c r="N64" s="55"/>
      <c r="O64" s="55"/>
      <c r="P64" s="55"/>
      <c r="Q64" s="55"/>
    </row>
    <row r="65" spans="1:17" ht="15.6">
      <c r="A65" s="40" t="s">
        <v>42</v>
      </c>
      <c r="B65" s="43"/>
      <c r="C65" s="4">
        <v>-977057</v>
      </c>
      <c r="D65" s="4">
        <f>C65+7490-460103+15958-521402.49</f>
        <v>-1935114.49</v>
      </c>
      <c r="E65" s="4">
        <v>-1829117.02</v>
      </c>
      <c r="F65" s="4">
        <v>-1729592.93</v>
      </c>
      <c r="G65" s="4">
        <f t="shared" si="42"/>
        <v>105997.46999999997</v>
      </c>
      <c r="H65" s="32"/>
      <c r="I65" s="32"/>
      <c r="L65" s="58"/>
      <c r="M65" s="55"/>
      <c r="N65" s="55"/>
      <c r="O65" s="55"/>
      <c r="P65" s="55"/>
      <c r="Q65" s="55"/>
    </row>
    <row r="66" spans="1:17" ht="15.6">
      <c r="A66" s="40"/>
      <c r="B66" s="43" t="s">
        <v>15</v>
      </c>
      <c r="C66" s="4">
        <v>-935733</v>
      </c>
      <c r="D66" s="4">
        <f>C66+7490-460103-264566.6</f>
        <v>-1652912.6</v>
      </c>
      <c r="E66" s="4">
        <v>-1624407.56</v>
      </c>
      <c r="F66" s="4">
        <v>-1643921.45</v>
      </c>
      <c r="G66" s="4">
        <f t="shared" si="42"/>
        <v>28505.040000000037</v>
      </c>
      <c r="H66" s="32"/>
      <c r="I66" s="32"/>
      <c r="L66" s="59"/>
      <c r="M66" s="55"/>
      <c r="N66" s="55"/>
      <c r="O66" s="55"/>
      <c r="P66" s="55"/>
      <c r="Q66" s="55"/>
    </row>
    <row r="67" spans="1:17" ht="15.6">
      <c r="A67" s="40" t="s">
        <v>43</v>
      </c>
      <c r="B67" s="40"/>
      <c r="C67" s="4">
        <v>-4730830</v>
      </c>
      <c r="D67" s="4">
        <f>C67+31207+2438+1808673-2860068.56</f>
        <v>-5748580.5600000005</v>
      </c>
      <c r="E67" s="4">
        <v>-5017406.3600000003</v>
      </c>
      <c r="F67" s="4">
        <v>-4756402.03</v>
      </c>
      <c r="G67" s="4">
        <f t="shared" si="42"/>
        <v>731174.20000000019</v>
      </c>
      <c r="H67" s="32"/>
      <c r="I67" s="32"/>
      <c r="L67" s="58"/>
      <c r="M67" s="55"/>
      <c r="N67" s="55"/>
      <c r="O67" s="55"/>
      <c r="P67" s="55"/>
      <c r="Q67" s="55"/>
    </row>
    <row r="68" spans="1:17" ht="15.6">
      <c r="A68" s="40"/>
      <c r="B68" s="43" t="s">
        <v>15</v>
      </c>
      <c r="C68" s="4">
        <v>-2691769</v>
      </c>
      <c r="D68" s="4">
        <f>C68+31207+2438-593747.22</f>
        <v>-3251871.2199999997</v>
      </c>
      <c r="E68" s="4">
        <v>-3174894.71</v>
      </c>
      <c r="F68" s="4">
        <v>-2833360.07</v>
      </c>
      <c r="G68" s="4">
        <f t="shared" si="42"/>
        <v>76976.509999999776</v>
      </c>
      <c r="H68" s="32"/>
      <c r="I68" s="32"/>
      <c r="L68" s="59"/>
      <c r="M68" s="55"/>
      <c r="N68" s="55"/>
      <c r="O68" s="55"/>
      <c r="P68" s="55"/>
      <c r="Q68" s="55"/>
    </row>
    <row r="69" spans="1:17" ht="15.6">
      <c r="A69" s="41" t="s">
        <v>44</v>
      </c>
      <c r="B69" s="41"/>
      <c r="C69" s="5">
        <f>C71+C73+C75+C77+C79</f>
        <v>-26123854</v>
      </c>
      <c r="D69" s="5">
        <f t="shared" ref="D69:G69" si="43">D71+D73+D75+D77+D79</f>
        <v>-34354594.5</v>
      </c>
      <c r="E69" s="5">
        <f t="shared" si="43"/>
        <v>-26304348.780000001</v>
      </c>
      <c r="F69" s="5">
        <f t="shared" ref="F69" si="44">F71+F73+F75+F77+F79</f>
        <v>-25857725.049999997</v>
      </c>
      <c r="G69" s="5">
        <f t="shared" si="43"/>
        <v>8050245.7199999997</v>
      </c>
      <c r="L69" s="57"/>
      <c r="M69" s="57"/>
      <c r="N69" s="57"/>
      <c r="O69" s="57"/>
      <c r="P69" s="57"/>
      <c r="Q69" s="57"/>
    </row>
    <row r="70" spans="1:17" ht="15.6">
      <c r="A70" s="47"/>
      <c r="B70" s="43" t="s">
        <v>15</v>
      </c>
      <c r="C70" s="4">
        <f>C72+C74+C76+C78+C80</f>
        <v>-23929819</v>
      </c>
      <c r="D70" s="4">
        <f t="shared" ref="D70:G70" si="45">D72+D74+D76+D78+D80</f>
        <v>-26116239.880000003</v>
      </c>
      <c r="E70" s="4">
        <f t="shared" si="45"/>
        <v>-22339931.240000002</v>
      </c>
      <c r="F70" s="4">
        <f t="shared" ref="F70" si="46">F72+F74+F76+F78+F80</f>
        <v>-20646005.969999999</v>
      </c>
      <c r="G70" s="4">
        <f t="shared" si="45"/>
        <v>3776308.6399999997</v>
      </c>
      <c r="L70" s="59"/>
      <c r="M70" s="55"/>
      <c r="N70" s="55"/>
      <c r="O70" s="55"/>
      <c r="P70" s="55"/>
      <c r="Q70" s="55"/>
    </row>
    <row r="71" spans="1:17" ht="15.6">
      <c r="A71" s="47" t="s">
        <v>45</v>
      </c>
      <c r="B71" s="40"/>
      <c r="C71" s="4">
        <v>-8756096</v>
      </c>
      <c r="D71" s="4">
        <f>C71+46828-17241+1388512-7761178.06</f>
        <v>-15099175.059999999</v>
      </c>
      <c r="E71" s="4">
        <v>-9355054.8399999999</v>
      </c>
      <c r="F71" s="4">
        <v>-9643756.0299999993</v>
      </c>
      <c r="G71" s="4">
        <f t="shared" ref="G71:G72" si="47">E71-D71</f>
        <v>5744120.2199999988</v>
      </c>
      <c r="H71" s="32"/>
      <c r="I71" s="32"/>
      <c r="M71" s="55"/>
      <c r="N71" s="55"/>
      <c r="O71" s="55"/>
      <c r="P71" s="55"/>
      <c r="Q71" s="55"/>
    </row>
    <row r="72" spans="1:17" ht="15.6">
      <c r="A72" s="47"/>
      <c r="B72" s="43" t="s">
        <v>15</v>
      </c>
      <c r="C72" s="4">
        <v>-7251762</v>
      </c>
      <c r="D72" s="4">
        <f>C72+46828-17241-1073540.84</f>
        <v>-8295715.8399999999</v>
      </c>
      <c r="E72" s="4">
        <v>-6206751.9400000004</v>
      </c>
      <c r="F72" s="4">
        <v>-5823463.6500000004</v>
      </c>
      <c r="G72" s="4">
        <f t="shared" si="47"/>
        <v>2088963.8999999994</v>
      </c>
      <c r="H72" s="32"/>
      <c r="I72" s="32"/>
      <c r="L72" s="59"/>
      <c r="M72" s="55"/>
      <c r="N72" s="55"/>
      <c r="O72" s="55"/>
      <c r="P72" s="55"/>
      <c r="Q72" s="55"/>
    </row>
    <row r="73" spans="1:17" ht="15.6">
      <c r="A73" s="47" t="s">
        <v>46</v>
      </c>
      <c r="B73" s="43"/>
      <c r="C73" s="4">
        <v>-3757399</v>
      </c>
      <c r="D73" s="4">
        <f>C73+134250-61839+27552-1620405.87</f>
        <v>-5277841.87</v>
      </c>
      <c r="E73" s="4">
        <v>-3496097.96</v>
      </c>
      <c r="F73" s="4">
        <v>-2549289.0699999998</v>
      </c>
      <c r="G73" s="4">
        <f t="shared" ref="G73:G80" si="48">E73-D73</f>
        <v>1781743.9100000001</v>
      </c>
      <c r="H73" s="32"/>
      <c r="I73" s="32"/>
      <c r="M73" s="55"/>
      <c r="N73" s="55"/>
      <c r="O73" s="55"/>
      <c r="P73" s="55"/>
      <c r="Q73" s="55"/>
    </row>
    <row r="74" spans="1:17" ht="15.6">
      <c r="A74" s="47"/>
      <c r="B74" s="43" t="s">
        <v>15</v>
      </c>
      <c r="C74" s="4">
        <v>-3723285</v>
      </c>
      <c r="D74" s="4">
        <f>C74+134250-61839-1123447.07</f>
        <v>-4774321.07</v>
      </c>
      <c r="E74" s="4">
        <v>-3289559.73</v>
      </c>
      <c r="F74" s="4">
        <v>-2412054.11</v>
      </c>
      <c r="G74" s="4">
        <f t="shared" si="48"/>
        <v>1484761.3400000003</v>
      </c>
      <c r="H74" s="32"/>
      <c r="I74" s="32"/>
      <c r="L74" s="59"/>
      <c r="M74" s="55"/>
      <c r="N74" s="55"/>
      <c r="O74" s="55"/>
      <c r="P74" s="55"/>
      <c r="Q74" s="55"/>
    </row>
    <row r="75" spans="1:17" ht="15.6">
      <c r="A75" s="47" t="s">
        <v>47</v>
      </c>
      <c r="B75" s="43"/>
      <c r="C75" s="4">
        <v>-1205643</v>
      </c>
      <c r="D75" s="4">
        <f>C75-7865+649232-477450.05</f>
        <v>-1041726.05</v>
      </c>
      <c r="E75" s="4">
        <v>-863733.97</v>
      </c>
      <c r="F75" s="4">
        <v>-1223365.92</v>
      </c>
      <c r="G75" s="4">
        <f t="shared" si="48"/>
        <v>177992.08000000007</v>
      </c>
      <c r="H75" s="32"/>
      <c r="I75" s="32"/>
      <c r="M75" s="55"/>
      <c r="N75" s="55"/>
      <c r="O75" s="55"/>
      <c r="P75" s="55"/>
      <c r="Q75" s="55"/>
    </row>
    <row r="76" spans="1:17" ht="15.6">
      <c r="A76" s="47"/>
      <c r="B76" s="43" t="s">
        <v>15</v>
      </c>
      <c r="C76" s="4">
        <v>-552876</v>
      </c>
      <c r="D76" s="4">
        <f>C76-7865-21863.59</f>
        <v>-582604.59</v>
      </c>
      <c r="E76" s="4">
        <v>-574711.89</v>
      </c>
      <c r="F76" s="4">
        <v>-430731.45</v>
      </c>
      <c r="G76" s="4">
        <f t="shared" si="48"/>
        <v>7892.6999999999534</v>
      </c>
      <c r="H76" s="32"/>
      <c r="I76" s="32"/>
      <c r="L76" s="59"/>
      <c r="M76" s="55"/>
      <c r="N76" s="55"/>
      <c r="O76" s="55"/>
      <c r="P76" s="55"/>
      <c r="Q76" s="55"/>
    </row>
    <row r="77" spans="1:17" ht="15.6">
      <c r="A77" s="47" t="s">
        <v>48</v>
      </c>
      <c r="B77" s="43"/>
      <c r="C77" s="4">
        <v>-5417554</v>
      </c>
      <c r="D77" s="4">
        <f>C77-19033-472081.87</f>
        <v>-5908668.8700000001</v>
      </c>
      <c r="E77" s="3">
        <v>-5602037.5199999996</v>
      </c>
      <c r="F77" s="3">
        <v>-6036112.6799999997</v>
      </c>
      <c r="G77" s="4">
        <f t="shared" si="48"/>
        <v>306631.35000000056</v>
      </c>
      <c r="H77" s="32"/>
      <c r="I77" s="32"/>
      <c r="M77" s="55"/>
      <c r="N77" s="55"/>
      <c r="O77" s="55"/>
      <c r="P77" s="55"/>
      <c r="Q77" s="55"/>
    </row>
    <row r="78" spans="1:17" ht="15.6">
      <c r="A78" s="47"/>
      <c r="B78" s="43" t="s">
        <v>15</v>
      </c>
      <c r="C78" s="4">
        <v>-5415545</v>
      </c>
      <c r="D78" s="4">
        <f>C78-19033-4752.96</f>
        <v>-5439330.96</v>
      </c>
      <c r="E78" s="4">
        <v>-5292814.93</v>
      </c>
      <c r="F78" s="4">
        <v>-5643827.4000000004</v>
      </c>
      <c r="G78" s="4">
        <f t="shared" si="48"/>
        <v>146516.03000000026</v>
      </c>
      <c r="H78" s="32"/>
      <c r="I78" s="32"/>
      <c r="L78" s="59"/>
      <c r="M78" s="55"/>
      <c r="N78" s="55"/>
      <c r="O78" s="55"/>
      <c r="P78" s="55"/>
      <c r="Q78" s="55"/>
    </row>
    <row r="79" spans="1:17" ht="15.6">
      <c r="A79" s="47" t="s">
        <v>49</v>
      </c>
      <c r="B79" s="43"/>
      <c r="C79" s="4">
        <v>-6987162</v>
      </c>
      <c r="D79" s="4">
        <f>C79-34994-5026.65</f>
        <v>-7027182.6500000004</v>
      </c>
      <c r="E79" s="4">
        <v>-6987424.4900000002</v>
      </c>
      <c r="F79" s="4">
        <v>-6405201.3499999996</v>
      </c>
      <c r="G79" s="4">
        <f t="shared" si="48"/>
        <v>39758.160000000149</v>
      </c>
      <c r="H79" s="32"/>
      <c r="I79" s="32"/>
      <c r="M79" s="55"/>
      <c r="N79" s="55"/>
      <c r="O79" s="55"/>
      <c r="P79" s="55"/>
      <c r="Q79" s="55"/>
    </row>
    <row r="80" spans="1:17" ht="15.6">
      <c r="A80" s="47"/>
      <c r="B80" s="43" t="s">
        <v>15</v>
      </c>
      <c r="C80" s="4">
        <v>-6986351</v>
      </c>
      <c r="D80" s="4">
        <f>C80-34994-2922.42</f>
        <v>-7024267.4199999999</v>
      </c>
      <c r="E80" s="4">
        <v>-6976092.75</v>
      </c>
      <c r="F80" s="4">
        <v>-6335929.3600000003</v>
      </c>
      <c r="G80" s="4">
        <f t="shared" si="48"/>
        <v>48174.669999999925</v>
      </c>
      <c r="H80" s="32"/>
      <c r="I80" s="32"/>
      <c r="L80" s="59"/>
      <c r="M80" s="55"/>
      <c r="N80" s="55"/>
      <c r="O80" s="55"/>
      <c r="P80" s="55"/>
      <c r="Q80" s="55"/>
    </row>
    <row r="81" spans="1:17" ht="15.6">
      <c r="A81" s="46" t="s">
        <v>50</v>
      </c>
      <c r="B81" s="39"/>
      <c r="C81" s="5">
        <f>C83+C85+C87+C89+C91+C93+C95+C97+C99</f>
        <v>-2463586658</v>
      </c>
      <c r="D81" s="5">
        <f t="shared" ref="D81:G81" si="49">D83+D85+D87+D89+D91+D93+D95+D97+D99</f>
        <v>-2480968476.79</v>
      </c>
      <c r="E81" s="5">
        <f t="shared" si="49"/>
        <v>-2435615322.3099999</v>
      </c>
      <c r="F81" s="5">
        <f t="shared" ref="F81" si="50">F83+F85+F87+F89+F91+F93+F95+F97+F99</f>
        <v>-2360264774.2700005</v>
      </c>
      <c r="G81" s="5">
        <f t="shared" si="49"/>
        <v>45353154.47999981</v>
      </c>
      <c r="L81" s="60"/>
      <c r="M81" s="57"/>
      <c r="N81" s="57"/>
      <c r="O81" s="57"/>
      <c r="P81" s="57"/>
      <c r="Q81" s="57"/>
    </row>
    <row r="82" spans="1:17" ht="15.6">
      <c r="A82" s="40"/>
      <c r="B82" s="43" t="s">
        <v>15</v>
      </c>
      <c r="C82" s="4">
        <f>C84+C86+C88+C90+C92+C94+C96+C98+C100</f>
        <v>-176315777</v>
      </c>
      <c r="D82" s="4">
        <f t="shared" ref="D82:G82" si="51">D84+D86+D88+D90+D92+D94+D96+D98+D100</f>
        <v>-191279949.88</v>
      </c>
      <c r="E82" s="4">
        <f t="shared" si="51"/>
        <v>-180155666.69</v>
      </c>
      <c r="F82" s="4">
        <f t="shared" ref="F82" si="52">F84+F86+F88+F90+F92+F94+F96+F98+F100</f>
        <v>-210537689.68000004</v>
      </c>
      <c r="G82" s="4">
        <f t="shared" si="51"/>
        <v>11124283.189999983</v>
      </c>
      <c r="H82" s="32"/>
      <c r="I82" s="32"/>
      <c r="L82" s="59"/>
      <c r="M82" s="55"/>
      <c r="N82" s="55"/>
      <c r="O82" s="55"/>
      <c r="P82" s="55"/>
      <c r="Q82" s="55"/>
    </row>
    <row r="83" spans="1:17" ht="15.6">
      <c r="A83" s="40" t="s">
        <v>51</v>
      </c>
      <c r="B83" s="43"/>
      <c r="C83" s="4">
        <v>-3392407</v>
      </c>
      <c r="D83" s="4">
        <f>C83+85676+200000+430483+136316-2681682.09</f>
        <v>-5221614.09</v>
      </c>
      <c r="E83" s="4">
        <v>-3459379.72</v>
      </c>
      <c r="F83" s="4">
        <v>-7645915.9400000004</v>
      </c>
      <c r="G83" s="4">
        <f t="shared" ref="G83:G100" si="53">E83-D83</f>
        <v>1762234.3699999996</v>
      </c>
      <c r="H83" s="32"/>
      <c r="I83" s="32"/>
      <c r="L83" s="58"/>
      <c r="M83" s="55"/>
      <c r="N83" s="55"/>
      <c r="O83" s="55"/>
      <c r="P83" s="55"/>
      <c r="Q83" s="55"/>
    </row>
    <row r="84" spans="1:17" ht="15.6">
      <c r="A84" s="40"/>
      <c r="B84" s="43" t="s">
        <v>15</v>
      </c>
      <c r="C84" s="4">
        <v>-3079429</v>
      </c>
      <c r="D84" s="4">
        <f>C84+85676+200000+430483-1522004.99</f>
        <v>-3885274.99</v>
      </c>
      <c r="E84" s="4">
        <v>-2851679.4</v>
      </c>
      <c r="F84" s="4">
        <v>-5071005.5</v>
      </c>
      <c r="G84" s="4">
        <f t="shared" si="53"/>
        <v>1033595.5900000003</v>
      </c>
      <c r="H84" s="32"/>
      <c r="I84" s="32"/>
      <c r="L84" s="59"/>
      <c r="M84" s="55"/>
      <c r="N84" s="55"/>
      <c r="O84" s="55"/>
      <c r="P84" s="55"/>
      <c r="Q84" s="55"/>
    </row>
    <row r="85" spans="1:17" ht="15.6">
      <c r="A85" s="40" t="s">
        <v>52</v>
      </c>
      <c r="B85" s="43"/>
      <c r="C85" s="4">
        <v>-46233296</v>
      </c>
      <c r="D85" s="4">
        <f>C85+31370000-28102318.87</f>
        <v>-42965614.870000005</v>
      </c>
      <c r="E85" s="4">
        <v>-37721000.640000001</v>
      </c>
      <c r="F85" s="4">
        <v>-2244674.7599999998</v>
      </c>
      <c r="G85" s="4">
        <f t="shared" si="53"/>
        <v>5244614.2300000042</v>
      </c>
      <c r="H85" s="32"/>
      <c r="I85" s="32"/>
      <c r="L85" s="58"/>
      <c r="M85" s="55"/>
      <c r="N85" s="55"/>
      <c r="O85" s="55"/>
      <c r="P85" s="55"/>
      <c r="Q85" s="55"/>
    </row>
    <row r="86" spans="1:17" ht="15.6">
      <c r="A86" s="40"/>
      <c r="B86" s="43" t="s">
        <v>15</v>
      </c>
      <c r="C86" s="4">
        <v>-14863296</v>
      </c>
      <c r="D86" s="4">
        <f>C86-44982.35</f>
        <v>-14908278.35</v>
      </c>
      <c r="E86" s="4">
        <f>-9663664.12-1</f>
        <v>-9663665.1199999992</v>
      </c>
      <c r="F86" s="4">
        <v>0</v>
      </c>
      <c r="G86" s="4">
        <f t="shared" si="53"/>
        <v>5244613.2300000004</v>
      </c>
      <c r="H86" s="32"/>
      <c r="I86" s="32"/>
      <c r="L86" s="59"/>
      <c r="M86" s="55"/>
      <c r="N86" s="55"/>
      <c r="O86" s="55"/>
      <c r="P86" s="55"/>
      <c r="Q86" s="55"/>
    </row>
    <row r="87" spans="1:17" ht="15.6">
      <c r="A87" s="40" t="s">
        <v>53</v>
      </c>
      <c r="B87" s="43"/>
      <c r="C87" s="4">
        <v>-7604823</v>
      </c>
      <c r="D87" s="4">
        <f>C87+21036+69983+27737-171389.61</f>
        <v>-7657456.6100000003</v>
      </c>
      <c r="E87" s="4">
        <v>-5711862.1600000001</v>
      </c>
      <c r="F87" s="4">
        <v>-8222894.5300000003</v>
      </c>
      <c r="G87" s="4">
        <f t="shared" si="53"/>
        <v>1945594.4500000002</v>
      </c>
      <c r="H87" s="32"/>
      <c r="I87" s="32"/>
      <c r="L87" s="58"/>
      <c r="M87" s="55"/>
      <c r="N87" s="55"/>
      <c r="O87" s="55"/>
      <c r="P87" s="55"/>
      <c r="Q87" s="55"/>
    </row>
    <row r="88" spans="1:17" ht="15.6">
      <c r="A88" s="40"/>
      <c r="B88" s="43" t="s">
        <v>15</v>
      </c>
      <c r="C88" s="4">
        <v>-5429579</v>
      </c>
      <c r="D88" s="4">
        <f>C88+21036+69983-143398.47</f>
        <v>-5481958.4699999997</v>
      </c>
      <c r="E88" s="4">
        <v>-5267595.57</v>
      </c>
      <c r="F88" s="4">
        <v>-6415024.04</v>
      </c>
      <c r="G88" s="4">
        <f t="shared" si="53"/>
        <v>214362.89999999944</v>
      </c>
      <c r="H88" s="32"/>
      <c r="I88" s="32"/>
      <c r="L88" s="59"/>
      <c r="M88" s="55"/>
      <c r="N88" s="55"/>
      <c r="O88" s="55"/>
      <c r="P88" s="55"/>
      <c r="Q88" s="55"/>
    </row>
    <row r="89" spans="1:17" ht="15.6">
      <c r="A89" s="40" t="s">
        <v>54</v>
      </c>
      <c r="B89" s="43"/>
      <c r="C89" s="4">
        <v>-11420625</v>
      </c>
      <c r="D89" s="4">
        <f>C89+712377+342990+3382597-5463883.44</f>
        <v>-12446544.440000001</v>
      </c>
      <c r="E89" s="4">
        <v>-10305145.33</v>
      </c>
      <c r="F89" s="4">
        <v>-87332744.980000004</v>
      </c>
      <c r="G89" s="4">
        <f t="shared" si="53"/>
        <v>2141399.1100000013</v>
      </c>
      <c r="H89" s="32"/>
      <c r="I89" s="32"/>
      <c r="L89" s="58"/>
      <c r="M89" s="55"/>
      <c r="N89" s="55"/>
      <c r="O89" s="55"/>
      <c r="P89" s="55"/>
      <c r="Q89" s="55"/>
    </row>
    <row r="90" spans="1:17" ht="15.6">
      <c r="A90" s="40"/>
      <c r="B90" s="43" t="s">
        <v>15</v>
      </c>
      <c r="C90" s="4">
        <v>-8029022</v>
      </c>
      <c r="D90" s="4">
        <f>C90+712377+342990-5462528.1</f>
        <v>-12436183.1</v>
      </c>
      <c r="E90" s="4">
        <v>-10501975.300000001</v>
      </c>
      <c r="F90" s="4">
        <v>-17097275.260000002</v>
      </c>
      <c r="G90" s="4">
        <f t="shared" si="53"/>
        <v>1934207.7999999989</v>
      </c>
      <c r="H90" s="32"/>
      <c r="I90" s="32"/>
      <c r="L90" s="59"/>
      <c r="M90" s="55"/>
      <c r="N90" s="55"/>
      <c r="O90" s="55"/>
      <c r="P90" s="55"/>
      <c r="Q90" s="55"/>
    </row>
    <row r="91" spans="1:17" ht="15.6">
      <c r="A91" s="40" t="s">
        <v>55</v>
      </c>
      <c r="B91" s="43"/>
      <c r="C91" s="4">
        <v>-3485799</v>
      </c>
      <c r="D91" s="4">
        <f>C91+54531-377339+155753-1775649.18</f>
        <v>-5428503.1799999997</v>
      </c>
      <c r="E91" s="4">
        <v>-4408496.17</v>
      </c>
      <c r="F91" s="4">
        <v>-3258546.56</v>
      </c>
      <c r="G91" s="4">
        <f t="shared" si="53"/>
        <v>1020007.0099999998</v>
      </c>
      <c r="H91" s="32"/>
      <c r="I91" s="32"/>
      <c r="L91" s="58"/>
      <c r="M91" s="55"/>
      <c r="N91" s="55"/>
      <c r="O91" s="55"/>
      <c r="P91" s="55"/>
      <c r="Q91" s="55"/>
    </row>
    <row r="92" spans="1:17" ht="15.6">
      <c r="A92" s="40"/>
      <c r="B92" s="43" t="s">
        <v>15</v>
      </c>
      <c r="C92" s="4">
        <v>-3082107</v>
      </c>
      <c r="D92" s="4">
        <f>C92+54531-377339-1056686.15</f>
        <v>-4461601.1500000004</v>
      </c>
      <c r="E92" s="4">
        <v>-3736041.03</v>
      </c>
      <c r="F92" s="4">
        <v>-2629900.98</v>
      </c>
      <c r="G92" s="4">
        <f t="shared" si="53"/>
        <v>725560.12000000058</v>
      </c>
      <c r="H92" s="32"/>
      <c r="I92" s="32"/>
      <c r="L92" s="59"/>
      <c r="M92" s="55"/>
      <c r="N92" s="55"/>
      <c r="O92" s="55"/>
      <c r="P92" s="55"/>
      <c r="Q92" s="55"/>
    </row>
    <row r="93" spans="1:17" ht="15.6">
      <c r="A93" s="40" t="s">
        <v>56</v>
      </c>
      <c r="B93" s="43"/>
      <c r="C93" s="4">
        <v>-2378334715</v>
      </c>
      <c r="D93" s="4">
        <f>C93+5360000+893297+2216661-15994772.96</f>
        <v>-2385859529.96</v>
      </c>
      <c r="E93" s="4">
        <v>-2358717064.7600002</v>
      </c>
      <c r="F93" s="4">
        <f>-2223298118.9</f>
        <v>-2223298118.9000001</v>
      </c>
      <c r="G93" s="4">
        <f t="shared" si="53"/>
        <v>27142465.199999809</v>
      </c>
      <c r="H93" s="32"/>
      <c r="I93" s="32"/>
      <c r="L93" s="58"/>
      <c r="M93" s="55"/>
      <c r="N93" s="55"/>
      <c r="O93" s="55"/>
      <c r="P93" s="55"/>
      <c r="Q93" s="55"/>
    </row>
    <row r="94" spans="1:17" ht="15.6">
      <c r="A94" s="40"/>
      <c r="B94" s="43" t="s">
        <v>15</v>
      </c>
      <c r="C94" s="4">
        <v>-134682040</v>
      </c>
      <c r="D94" s="4">
        <f>C94+2700000+893297-9733224.17-1</f>
        <v>-140821968.16999999</v>
      </c>
      <c r="E94" s="4">
        <v>-139514594.09</v>
      </c>
      <c r="F94" s="4">
        <v>-157427388.27000001</v>
      </c>
      <c r="G94" s="4">
        <f t="shared" si="53"/>
        <v>1307374.0799999833</v>
      </c>
      <c r="H94" s="32"/>
      <c r="I94" s="32"/>
      <c r="L94" s="59"/>
      <c r="M94" s="55"/>
      <c r="N94" s="55"/>
      <c r="O94" s="55"/>
      <c r="P94" s="55"/>
      <c r="Q94" s="55"/>
    </row>
    <row r="95" spans="1:17" ht="15.6">
      <c r="A95" s="40" t="s">
        <v>57</v>
      </c>
      <c r="B95" s="43"/>
      <c r="C95" s="4">
        <v>-926186</v>
      </c>
      <c r="D95" s="4">
        <f>C95+29080+80857+18778-637290.98</f>
        <v>-1434761.98</v>
      </c>
      <c r="E95" s="4">
        <v>-946294.99</v>
      </c>
      <c r="F95" s="4">
        <v>-823398.88</v>
      </c>
      <c r="G95" s="4">
        <f t="shared" si="53"/>
        <v>488466.99</v>
      </c>
      <c r="H95" s="32"/>
      <c r="I95" s="32"/>
      <c r="L95" s="58"/>
      <c r="M95" s="55"/>
      <c r="N95" s="55"/>
      <c r="O95" s="55"/>
      <c r="P95" s="55"/>
      <c r="Q95" s="55"/>
    </row>
    <row r="96" spans="1:17" ht="15.6">
      <c r="A96" s="40"/>
      <c r="B96" s="43" t="s">
        <v>15</v>
      </c>
      <c r="C96" s="4">
        <v>-903624</v>
      </c>
      <c r="D96" s="4">
        <f>C96+29080+80857-359852.11</f>
        <v>-1153539.1099999999</v>
      </c>
      <c r="E96" s="4">
        <v>-840018.71</v>
      </c>
      <c r="F96" s="4">
        <v>-761226.86</v>
      </c>
      <c r="G96" s="4">
        <f t="shared" si="53"/>
        <v>313520.39999999991</v>
      </c>
      <c r="H96" s="32"/>
      <c r="I96" s="32"/>
      <c r="L96" s="59"/>
      <c r="M96" s="55"/>
      <c r="N96" s="55"/>
      <c r="O96" s="55"/>
      <c r="P96" s="55"/>
      <c r="Q96" s="55"/>
    </row>
    <row r="97" spans="1:17" ht="15.6">
      <c r="A97" s="40" t="s">
        <v>58</v>
      </c>
      <c r="B97" s="43"/>
      <c r="C97" s="4">
        <v>-9460704</v>
      </c>
      <c r="D97" s="4">
        <f>C97+4598-299937+4889315-9421361.79</f>
        <v>-14288089.789999999</v>
      </c>
      <c r="E97" s="4">
        <v>-9871729.8900000006</v>
      </c>
      <c r="F97" s="4">
        <v>-9215645.8200000003</v>
      </c>
      <c r="G97" s="4">
        <f t="shared" si="53"/>
        <v>4416359.8999999985</v>
      </c>
      <c r="H97" s="32"/>
      <c r="I97" s="32"/>
      <c r="L97" s="58"/>
      <c r="M97" s="55"/>
      <c r="N97" s="55"/>
      <c r="O97" s="55"/>
      <c r="P97" s="55"/>
      <c r="Q97" s="55"/>
    </row>
    <row r="98" spans="1:17" ht="15.6">
      <c r="A98" s="40"/>
      <c r="B98" s="43" t="s">
        <v>15</v>
      </c>
      <c r="C98" s="4">
        <v>-3954051</v>
      </c>
      <c r="D98" s="4">
        <f>C98+4598-299937-216976.42</f>
        <v>-4466366.42</v>
      </c>
      <c r="E98" s="4">
        <v>-4334979.6900000004</v>
      </c>
      <c r="F98" s="4">
        <v>-4213979.6100000003</v>
      </c>
      <c r="G98" s="4">
        <f t="shared" si="53"/>
        <v>131386.72999999952</v>
      </c>
      <c r="H98" s="32"/>
      <c r="I98" s="32"/>
      <c r="L98" s="59"/>
      <c r="M98" s="55"/>
      <c r="N98" s="55"/>
      <c r="O98" s="55"/>
      <c r="P98" s="55"/>
      <c r="Q98" s="55"/>
    </row>
    <row r="99" spans="1:17" ht="15.6">
      <c r="A99" s="40" t="s">
        <v>59</v>
      </c>
      <c r="B99" s="43"/>
      <c r="C99" s="4">
        <v>-2728103</v>
      </c>
      <c r="D99" s="4">
        <f>C99+66573-59305+174257-3119783.87</f>
        <v>-5666361.8700000001</v>
      </c>
      <c r="E99" s="4">
        <f>-4474347.65-1</f>
        <v>-4474348.6500000004</v>
      </c>
      <c r="F99" s="4">
        <f>-18222833.9</f>
        <v>-18222833.899999999</v>
      </c>
      <c r="G99" s="4">
        <f t="shared" si="53"/>
        <v>1192013.2199999997</v>
      </c>
      <c r="H99" s="32"/>
      <c r="I99" s="32"/>
      <c r="L99" s="58"/>
      <c r="M99" s="55"/>
      <c r="N99" s="55"/>
      <c r="O99" s="55"/>
      <c r="P99" s="55"/>
      <c r="Q99" s="55"/>
    </row>
    <row r="100" spans="1:17" ht="15.6">
      <c r="A100" s="40"/>
      <c r="B100" s="43" t="s">
        <v>15</v>
      </c>
      <c r="C100" s="4">
        <v>-2292629</v>
      </c>
      <c r="D100" s="4">
        <f>C100+66573-59305-1379419.12</f>
        <v>-3664780.12</v>
      </c>
      <c r="E100" s="4">
        <f>-3445117.78</f>
        <v>-3445117.78</v>
      </c>
      <c r="F100" s="4">
        <f>-16921889.16</f>
        <v>-16921889.16</v>
      </c>
      <c r="G100" s="4">
        <f t="shared" si="53"/>
        <v>219662.34000000032</v>
      </c>
      <c r="H100" s="32"/>
      <c r="I100" s="32"/>
      <c r="L100" s="59"/>
      <c r="M100" s="55"/>
      <c r="N100" s="55"/>
      <c r="O100" s="55"/>
      <c r="P100" s="55"/>
      <c r="Q100" s="55"/>
    </row>
    <row r="101" spans="1:17" s="25" customFormat="1" ht="15.6">
      <c r="A101" s="73" t="s">
        <v>60</v>
      </c>
      <c r="B101" s="69"/>
      <c r="C101" s="71">
        <v>-7303882</v>
      </c>
      <c r="D101" s="71">
        <f>C101+126550+136717-751702.34</f>
        <v>-7792317.3399999999</v>
      </c>
      <c r="E101" s="71">
        <v>-7144115.4800000004</v>
      </c>
      <c r="F101" s="71">
        <v>-8590211.2799999993</v>
      </c>
      <c r="G101" s="71">
        <f>E101-D101</f>
        <v>648201.8599999994</v>
      </c>
      <c r="H101" s="33"/>
      <c r="I101" s="33"/>
      <c r="J101" s="29"/>
      <c r="K101" s="29"/>
      <c r="L101" s="56"/>
      <c r="M101" s="57"/>
      <c r="N101" s="57"/>
      <c r="O101" s="57"/>
      <c r="P101" s="57"/>
      <c r="Q101" s="57"/>
    </row>
    <row r="102" spans="1:17" s="25" customFormat="1" ht="15.6">
      <c r="A102" s="69" t="s">
        <v>61</v>
      </c>
      <c r="B102" s="69"/>
      <c r="C102" s="71">
        <v>-11374710</v>
      </c>
      <c r="D102" s="71">
        <f>C102-3809565.46+2070000+1169843+4496351-219510-15810790.63</f>
        <v>-23478382.090000004</v>
      </c>
      <c r="E102" s="71">
        <f>-13759761.49-2949615.64</f>
        <v>-16709377.130000001</v>
      </c>
      <c r="F102" s="71">
        <f>-15015897.88-2983149.1</f>
        <v>-17999046.98</v>
      </c>
      <c r="G102" s="71">
        <f>E102-D102</f>
        <v>6769004.9600000028</v>
      </c>
      <c r="H102" s="33"/>
      <c r="I102" s="33"/>
      <c r="J102" s="29"/>
      <c r="K102" s="29"/>
      <c r="L102" s="54"/>
      <c r="M102" s="57"/>
      <c r="N102" s="57"/>
      <c r="O102" s="57"/>
      <c r="P102" s="57"/>
      <c r="Q102" s="57"/>
    </row>
    <row r="103" spans="1:17" ht="15.6">
      <c r="A103" s="40"/>
      <c r="B103" s="43" t="s">
        <v>15</v>
      </c>
      <c r="C103" s="79">
        <v>-5724703</v>
      </c>
      <c r="D103" s="79">
        <f>C103-3809565.42+1740000+1169843-219510</f>
        <v>-6843935.4199999999</v>
      </c>
      <c r="E103" s="79">
        <v>-4576226.88</v>
      </c>
      <c r="F103" s="79">
        <v>-6507058.4199999999</v>
      </c>
      <c r="G103" s="4">
        <f t="shared" ref="G103:G104" si="54">E103-D103</f>
        <v>2267708.54</v>
      </c>
      <c r="L103" s="59"/>
      <c r="M103" s="55"/>
      <c r="N103" s="55"/>
      <c r="O103" s="55"/>
      <c r="P103" s="55"/>
      <c r="Q103" s="55"/>
    </row>
    <row r="104" spans="1:17" ht="15.6">
      <c r="A104" s="40"/>
      <c r="B104" s="43" t="s">
        <v>62</v>
      </c>
      <c r="C104" s="79">
        <v>-1969989</v>
      </c>
      <c r="D104" s="79">
        <f>C104+330000+816333-1946681.54</f>
        <v>-2770337.54</v>
      </c>
      <c r="E104" s="79">
        <v>-2949615.64</v>
      </c>
      <c r="F104" s="79">
        <v>-2983149.1</v>
      </c>
      <c r="G104" s="4">
        <f t="shared" si="54"/>
        <v>-179278.10000000009</v>
      </c>
      <c r="L104" s="59"/>
      <c r="M104" s="55"/>
      <c r="N104" s="55"/>
      <c r="O104" s="55"/>
      <c r="P104" s="55"/>
      <c r="Q104" s="55"/>
    </row>
    <row r="105" spans="1:17" s="85" customFormat="1" ht="15.6">
      <c r="A105" s="80" t="s">
        <v>63</v>
      </c>
      <c r="B105" s="80"/>
      <c r="C105" s="71"/>
      <c r="D105" s="71"/>
      <c r="E105" s="71">
        <f>SUM(E106:E117)</f>
        <v>5050863875.1099997</v>
      </c>
      <c r="F105" s="71">
        <f>SUM(F106:F117)</f>
        <v>5136876516.71</v>
      </c>
      <c r="G105" s="71"/>
      <c r="H105" s="81"/>
      <c r="I105" s="81"/>
      <c r="J105" s="81"/>
      <c r="K105" s="81"/>
      <c r="L105" s="82"/>
      <c r="M105" s="83"/>
      <c r="N105" s="83"/>
      <c r="O105" s="84"/>
      <c r="P105" s="84"/>
      <c r="Q105" s="83"/>
    </row>
    <row r="106" spans="1:17" ht="15.6">
      <c r="A106" s="39"/>
      <c r="B106" s="45" t="s">
        <v>64</v>
      </c>
      <c r="C106" s="5"/>
      <c r="D106" s="5"/>
      <c r="E106" s="4">
        <f>5069282057.87-69223.54</f>
        <v>5069212834.3299999</v>
      </c>
      <c r="F106" s="4">
        <v>4912047052.79</v>
      </c>
      <c r="G106" s="5"/>
      <c r="L106" s="61"/>
      <c r="M106" s="55"/>
      <c r="N106" s="55"/>
      <c r="O106" s="55"/>
      <c r="P106" s="55"/>
      <c r="Q106" s="55"/>
    </row>
    <row r="107" spans="1:17" ht="15.6">
      <c r="A107" s="40"/>
      <c r="B107" s="45" t="s">
        <v>65</v>
      </c>
      <c r="C107" s="4"/>
      <c r="D107" s="4"/>
      <c r="E107" s="4">
        <v>0</v>
      </c>
      <c r="F107" s="4">
        <v>95462.84</v>
      </c>
      <c r="G107" s="4"/>
      <c r="L107" s="61"/>
      <c r="M107" s="55"/>
      <c r="N107" s="55"/>
      <c r="O107" s="55"/>
      <c r="P107" s="55"/>
      <c r="Q107" s="55"/>
    </row>
    <row r="108" spans="1:17" ht="15.6">
      <c r="A108" s="40"/>
      <c r="B108" s="45" t="s">
        <v>66</v>
      </c>
      <c r="C108" s="4"/>
      <c r="D108" s="4"/>
      <c r="E108" s="4">
        <f>-3966955.18+69223.54</f>
        <v>-3897731.64</v>
      </c>
      <c r="F108" s="4">
        <v>-5655928</v>
      </c>
      <c r="G108" s="4"/>
      <c r="L108" s="61"/>
      <c r="M108" s="55"/>
      <c r="N108" s="55"/>
      <c r="O108" s="55"/>
      <c r="P108" s="55"/>
      <c r="Q108" s="55"/>
    </row>
    <row r="109" spans="1:17" ht="15.6">
      <c r="A109" s="40"/>
      <c r="B109" s="45" t="s">
        <v>67</v>
      </c>
      <c r="C109" s="4"/>
      <c r="D109" s="4"/>
      <c r="E109" s="4">
        <v>-97621136</v>
      </c>
      <c r="F109" s="4">
        <v>-79995127</v>
      </c>
      <c r="G109" s="4"/>
      <c r="L109" s="61"/>
      <c r="M109" s="55"/>
      <c r="N109" s="55"/>
      <c r="O109" s="55"/>
      <c r="P109" s="55"/>
      <c r="Q109" s="55"/>
    </row>
    <row r="110" spans="1:17" ht="15.6">
      <c r="A110" s="40"/>
      <c r="B110" s="45" t="s">
        <v>68</v>
      </c>
      <c r="C110" s="4"/>
      <c r="D110" s="4"/>
      <c r="E110" s="4">
        <v>1525835.09</v>
      </c>
      <c r="F110" s="4">
        <v>891647.59</v>
      </c>
      <c r="G110" s="4"/>
      <c r="L110" s="61"/>
      <c r="M110" s="55"/>
      <c r="N110" s="55"/>
      <c r="O110" s="55"/>
      <c r="P110" s="55"/>
      <c r="Q110" s="55"/>
    </row>
    <row r="111" spans="1:17" ht="15.6">
      <c r="A111" s="40"/>
      <c r="B111" s="45" t="s">
        <v>69</v>
      </c>
      <c r="C111" s="4"/>
      <c r="D111" s="4"/>
      <c r="E111" s="4">
        <v>0</v>
      </c>
      <c r="F111" s="4">
        <f>-557090.04-1428308.55</f>
        <v>-1985398.59</v>
      </c>
      <c r="G111" s="4"/>
      <c r="L111" s="61"/>
      <c r="M111" s="55"/>
      <c r="N111" s="55"/>
      <c r="O111" s="55"/>
      <c r="P111" s="55"/>
      <c r="Q111" s="55"/>
    </row>
    <row r="112" spans="1:17" ht="15.6">
      <c r="A112" s="40"/>
      <c r="B112" s="45" t="s">
        <v>70</v>
      </c>
      <c r="C112" s="4"/>
      <c r="D112" s="4"/>
      <c r="E112" s="4">
        <v>0</v>
      </c>
      <c r="F112" s="4">
        <v>1428308.55</v>
      </c>
      <c r="G112" s="4"/>
      <c r="L112" s="61"/>
      <c r="M112" s="55"/>
      <c r="N112" s="55"/>
      <c r="O112" s="55"/>
      <c r="P112" s="55"/>
      <c r="Q112" s="55"/>
    </row>
    <row r="113" spans="1:17" ht="15.6">
      <c r="A113" s="40"/>
      <c r="B113" s="45" t="s">
        <v>71</v>
      </c>
      <c r="C113" s="4"/>
      <c r="D113" s="4"/>
      <c r="E113" s="4">
        <v>-46786.38</v>
      </c>
      <c r="F113" s="4">
        <v>54913.65</v>
      </c>
      <c r="G113" s="4"/>
      <c r="L113" s="61"/>
      <c r="M113" s="55"/>
      <c r="N113" s="55"/>
      <c r="O113" s="55"/>
      <c r="P113" s="55"/>
      <c r="Q113" s="55"/>
    </row>
    <row r="114" spans="1:17" ht="15.6">
      <c r="A114" s="40"/>
      <c r="B114" s="45" t="s">
        <v>72</v>
      </c>
      <c r="C114" s="4"/>
      <c r="D114" s="4"/>
      <c r="E114" s="4">
        <v>46786.38</v>
      </c>
      <c r="F114" s="4">
        <v>-54913.65</v>
      </c>
      <c r="G114" s="4"/>
      <c r="L114" s="61"/>
      <c r="M114" s="55"/>
      <c r="N114" s="55"/>
      <c r="O114" s="55"/>
      <c r="P114" s="55"/>
      <c r="Q114" s="55"/>
    </row>
    <row r="115" spans="1:17" ht="15.6">
      <c r="A115" s="40"/>
      <c r="B115" s="45" t="s">
        <v>73</v>
      </c>
      <c r="C115" s="4"/>
      <c r="D115" s="4"/>
      <c r="E115" s="4">
        <v>0</v>
      </c>
      <c r="F115" s="4">
        <v>270482354.94999999</v>
      </c>
      <c r="G115" s="4"/>
      <c r="L115" s="61"/>
      <c r="M115" s="55"/>
      <c r="N115" s="55"/>
      <c r="O115" s="55"/>
      <c r="P115" s="55"/>
      <c r="Q115" s="55"/>
    </row>
    <row r="116" spans="1:17" ht="15.6">
      <c r="A116" s="40"/>
      <c r="B116" s="45" t="s">
        <v>74</v>
      </c>
      <c r="C116" s="4"/>
      <c r="D116" s="4"/>
      <c r="E116" s="4">
        <f>-44566992</f>
        <v>-44566992</v>
      </c>
      <c r="F116" s="4">
        <v>-67725261</v>
      </c>
      <c r="G116" s="4"/>
      <c r="L116" s="61"/>
      <c r="M116" s="55"/>
      <c r="N116" s="55"/>
      <c r="O116" s="55"/>
      <c r="P116" s="55"/>
      <c r="Q116" s="55"/>
    </row>
    <row r="117" spans="1:17" ht="15.6">
      <c r="A117" s="40"/>
      <c r="B117" s="45" t="s">
        <v>75</v>
      </c>
      <c r="C117" s="4"/>
      <c r="D117" s="4"/>
      <c r="E117" s="4">
        <f>126211065.33</f>
        <v>126211065.33</v>
      </c>
      <c r="F117" s="4">
        <f>378454599.34-270482354.95-678839.81</f>
        <v>107293404.57999998</v>
      </c>
      <c r="G117" s="4"/>
      <c r="L117" s="61"/>
      <c r="M117" s="55"/>
      <c r="N117" s="55"/>
      <c r="O117" s="55"/>
      <c r="P117" s="55"/>
      <c r="Q117" s="55"/>
    </row>
    <row r="118" spans="1:17" ht="15.6">
      <c r="A118" s="74"/>
      <c r="B118" s="75" t="s">
        <v>76</v>
      </c>
      <c r="C118" s="72"/>
      <c r="D118" s="76"/>
      <c r="E118" s="77">
        <v>-1959331755</v>
      </c>
      <c r="F118" s="77">
        <f>F5+F11+F104+F105</f>
        <v>-2170294861.7300005</v>
      </c>
      <c r="G118" s="78"/>
      <c r="L118" s="62"/>
      <c r="M118" s="55"/>
      <c r="N118" s="55"/>
      <c r="O118" s="55"/>
      <c r="P118" s="55"/>
      <c r="Q118" s="55"/>
    </row>
    <row r="119" spans="1:17" ht="15.6">
      <c r="A119" s="74"/>
      <c r="B119" s="75" t="s">
        <v>77</v>
      </c>
      <c r="C119" s="72"/>
      <c r="D119" s="76"/>
      <c r="E119" s="77">
        <v>-1959331754.96</v>
      </c>
      <c r="F119" s="77">
        <v>-2170294862.3499985</v>
      </c>
      <c r="G119" s="78"/>
      <c r="L119" s="62"/>
      <c r="M119" s="55"/>
      <c r="N119" s="55"/>
      <c r="O119" s="55"/>
      <c r="P119" s="55"/>
      <c r="Q119" s="55"/>
    </row>
    <row r="120" spans="1:17" ht="1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9403-50E9-43C6-AF9D-B37F0A9328D9}">
  <dimension ref="A1:O18"/>
  <sheetViews>
    <sheetView workbookViewId="0">
      <selection activeCell="M12" sqref="M12"/>
    </sheetView>
  </sheetViews>
  <sheetFormatPr defaultRowHeight="14.45"/>
  <cols>
    <col min="1" max="1" width="15.85546875" customWidth="1"/>
    <col min="2" max="2" width="39.140625" customWidth="1"/>
    <col min="3" max="3" width="16.7109375" style="27" bestFit="1" customWidth="1"/>
    <col min="4" max="4" width="16.140625" style="27" bestFit="1" customWidth="1"/>
    <col min="5" max="5" width="16.7109375" style="27" bestFit="1" customWidth="1"/>
    <col min="6" max="6" width="9.140625" style="13"/>
    <col min="7" max="7" width="16" style="13" bestFit="1" customWidth="1"/>
    <col min="8" max="8" width="16.7109375" style="13" bestFit="1" customWidth="1"/>
    <col min="9" max="9" width="15.85546875" style="13" bestFit="1" customWidth="1"/>
    <col min="11" max="11" width="13.5703125" bestFit="1" customWidth="1"/>
    <col min="13" max="13" width="14.28515625" bestFit="1" customWidth="1"/>
    <col min="14" max="14" width="10.7109375" bestFit="1" customWidth="1"/>
    <col min="15" max="15" width="13.28515625" customWidth="1"/>
  </cols>
  <sheetData>
    <row r="1" spans="1:15">
      <c r="A1" s="7" t="s">
        <v>78</v>
      </c>
      <c r="B1" s="8"/>
      <c r="C1" s="30"/>
      <c r="D1" s="30"/>
      <c r="E1" s="30"/>
      <c r="F1" s="9"/>
      <c r="G1" s="10"/>
      <c r="H1" s="11"/>
      <c r="I1" s="12"/>
      <c r="J1" s="13"/>
    </row>
    <row r="2" spans="1:15">
      <c r="A2" s="7" t="s">
        <v>79</v>
      </c>
      <c r="B2" s="8"/>
      <c r="C2" s="30"/>
      <c r="D2" s="30"/>
      <c r="E2" s="30"/>
      <c r="F2" s="9"/>
      <c r="G2" s="30"/>
      <c r="H2" s="30"/>
      <c r="I2" s="11"/>
      <c r="J2" s="13"/>
    </row>
    <row r="3" spans="1:15">
      <c r="A3" s="7"/>
      <c r="B3" s="8"/>
      <c r="C3" s="31">
        <f>SUBTOTAL(9,C5:C19)</f>
        <v>-1973091516.4500003</v>
      </c>
      <c r="D3" s="31">
        <f>SUBTOTAL(9,D5:D19)</f>
        <v>-1973091516.4500003</v>
      </c>
      <c r="E3" s="31">
        <f>SUBTOTAL(9,E5:E19)</f>
        <v>-3.2741809263825417E-11</v>
      </c>
      <c r="F3" s="9"/>
      <c r="G3" s="31">
        <f>SUBTOTAL(9,G5:G19)</f>
        <v>-2185310760.2299986</v>
      </c>
      <c r="H3" s="31">
        <f>SUBTOTAL(9,H5:H19)</f>
        <v>-2185310759.9799986</v>
      </c>
      <c r="I3" s="31">
        <f>SUBTOTAL(9,I5:I19)</f>
        <v>-0.24999977089464664</v>
      </c>
    </row>
    <row r="4" spans="1:15" ht="26.1">
      <c r="A4" s="64" t="s">
        <v>80</v>
      </c>
      <c r="B4" s="64" t="s">
        <v>81</v>
      </c>
      <c r="C4" s="65" t="s">
        <v>82</v>
      </c>
      <c r="D4" s="65" t="s">
        <v>83</v>
      </c>
      <c r="E4" s="65" t="s">
        <v>84</v>
      </c>
      <c r="F4" s="66" t="s">
        <v>85</v>
      </c>
      <c r="G4" s="67" t="s">
        <v>86</v>
      </c>
      <c r="H4" s="67" t="s">
        <v>87</v>
      </c>
      <c r="I4" s="67" t="s">
        <v>88</v>
      </c>
      <c r="J4" s="64" t="s">
        <v>85</v>
      </c>
    </row>
    <row r="5" spans="1:15">
      <c r="A5" t="s">
        <v>89</v>
      </c>
      <c r="B5" s="14" t="s">
        <v>64</v>
      </c>
      <c r="C5" s="27">
        <f>5069282057.87-69223.54</f>
        <v>5069212834.3299999</v>
      </c>
      <c r="D5" s="11">
        <f>aruanne!E106</f>
        <v>5069212834.3299999</v>
      </c>
      <c r="E5" s="11">
        <f t="shared" ref="E5:E18" si="0">C5-D5</f>
        <v>0</v>
      </c>
      <c r="G5" s="27">
        <v>4912047052.79</v>
      </c>
      <c r="H5" s="11">
        <f>aruanne!F106</f>
        <v>4912047052.79</v>
      </c>
      <c r="I5" s="11">
        <f t="shared" ref="I5:I18" si="1">G5-H5</f>
        <v>0</v>
      </c>
      <c r="M5" s="27"/>
      <c r="N5" s="13"/>
      <c r="O5" s="13"/>
    </row>
    <row r="6" spans="1:15">
      <c r="A6" t="s">
        <v>89</v>
      </c>
      <c r="B6" t="s">
        <v>9</v>
      </c>
      <c r="C6" s="27">
        <v>322835.57</v>
      </c>
      <c r="D6" s="11">
        <f>aruanne!E6</f>
        <v>322835.57</v>
      </c>
      <c r="E6" s="11">
        <f t="shared" si="0"/>
        <v>0</v>
      </c>
      <c r="G6" s="27">
        <v>308973.27</v>
      </c>
      <c r="H6" s="11">
        <f>aruanne!F6</f>
        <v>309623.27</v>
      </c>
      <c r="I6" s="11">
        <f t="shared" si="1"/>
        <v>-650</v>
      </c>
      <c r="J6" s="13"/>
      <c r="O6" s="13"/>
    </row>
    <row r="7" spans="1:15">
      <c r="A7" t="s">
        <v>89</v>
      </c>
      <c r="B7" t="s">
        <v>10</v>
      </c>
      <c r="C7" s="27">
        <v>6900474.3899999997</v>
      </c>
      <c r="D7" s="11">
        <f>aruanne!E7+aruanne!E113</f>
        <v>6900474.3899999997</v>
      </c>
      <c r="E7" s="11">
        <f t="shared" si="0"/>
        <v>0</v>
      </c>
      <c r="G7" s="27">
        <v>8910108.6300000008</v>
      </c>
      <c r="H7" s="11">
        <f>aruanne!F7+aruanne!F113</f>
        <v>8989649.6400000006</v>
      </c>
      <c r="I7" s="11">
        <f t="shared" si="1"/>
        <v>-79541.009999999776</v>
      </c>
      <c r="J7" s="13"/>
      <c r="O7" s="13"/>
    </row>
    <row r="8" spans="1:15">
      <c r="A8" t="s">
        <v>89</v>
      </c>
      <c r="B8" t="s">
        <v>11</v>
      </c>
      <c r="C8" s="27">
        <v>58798482.490000002</v>
      </c>
      <c r="D8" s="11">
        <f>aruanne!E8+aruanne!E110+aruanne!E112</f>
        <v>58798482.490000002</v>
      </c>
      <c r="E8" s="11">
        <f t="shared" si="0"/>
        <v>0</v>
      </c>
      <c r="G8" s="27">
        <v>155183624.52000001</v>
      </c>
      <c r="H8" s="11">
        <f>aruanne!F8+aruanne!F110+aruanne!F112</f>
        <v>155183624.52000001</v>
      </c>
      <c r="I8" s="11">
        <f t="shared" si="1"/>
        <v>0</v>
      </c>
      <c r="J8" s="13"/>
      <c r="O8" s="13"/>
    </row>
    <row r="9" spans="1:15">
      <c r="A9" t="s">
        <v>89</v>
      </c>
      <c r="B9" t="s">
        <v>12</v>
      </c>
      <c r="C9" s="27">
        <v>7947.2</v>
      </c>
      <c r="D9" s="11">
        <f>aruanne!E9</f>
        <v>7947.2</v>
      </c>
      <c r="E9" s="11">
        <f t="shared" si="0"/>
        <v>0</v>
      </c>
      <c r="G9" s="27">
        <v>35787.01</v>
      </c>
      <c r="H9" s="11">
        <f>aruanne!F9</f>
        <v>35787.01</v>
      </c>
      <c r="I9" s="11">
        <f t="shared" si="1"/>
        <v>0</v>
      </c>
      <c r="J9" s="13"/>
      <c r="O9" s="13"/>
    </row>
    <row r="10" spans="1:15">
      <c r="A10" t="s">
        <v>89</v>
      </c>
      <c r="B10" t="s">
        <v>13</v>
      </c>
      <c r="C10" s="27">
        <f>695468.55+460.38</f>
        <v>695928.93</v>
      </c>
      <c r="D10" s="11">
        <f>aruanne!E10</f>
        <v>705365.84000000008</v>
      </c>
      <c r="E10" s="11">
        <f t="shared" si="0"/>
        <v>-9436.9100000000326</v>
      </c>
      <c r="G10" s="27">
        <v>680999.12</v>
      </c>
      <c r="H10" s="11">
        <f>aruanne!F10</f>
        <v>680999.12</v>
      </c>
      <c r="I10" s="11">
        <f t="shared" si="1"/>
        <v>0</v>
      </c>
      <c r="J10" s="13"/>
      <c r="O10" s="13"/>
    </row>
    <row r="11" spans="1:15">
      <c r="A11" t="s">
        <v>89</v>
      </c>
      <c r="B11" t="s">
        <v>90</v>
      </c>
      <c r="C11" s="27">
        <v>0</v>
      </c>
      <c r="D11" s="11"/>
      <c r="E11" s="11">
        <f t="shared" si="0"/>
        <v>0</v>
      </c>
      <c r="G11" s="27">
        <v>80191.009999999995</v>
      </c>
      <c r="H11" s="11"/>
      <c r="I11" s="11">
        <f t="shared" si="1"/>
        <v>80191.009999999995</v>
      </c>
      <c r="J11" s="13"/>
      <c r="O11" s="13"/>
    </row>
    <row r="12" spans="1:15">
      <c r="A12" t="s">
        <v>89</v>
      </c>
      <c r="B12" t="s">
        <v>91</v>
      </c>
      <c r="C12" s="27">
        <v>9436.91</v>
      </c>
      <c r="D12" s="11">
        <f>aruanne!E107</f>
        <v>0</v>
      </c>
      <c r="E12" s="11">
        <f t="shared" si="0"/>
        <v>9436.91</v>
      </c>
      <c r="G12" s="27">
        <v>95462.84</v>
      </c>
      <c r="H12" s="11">
        <f>aruanne!F107</f>
        <v>95462.84</v>
      </c>
      <c r="I12" s="11">
        <f t="shared" si="1"/>
        <v>0</v>
      </c>
      <c r="O12" s="13"/>
    </row>
    <row r="13" spans="1:15" ht="15">
      <c r="A13" t="s">
        <v>89</v>
      </c>
      <c r="B13" t="s">
        <v>92</v>
      </c>
      <c r="C13" s="27">
        <f>-6997727782.32-C16-C18+69223.54</f>
        <v>-6987564827.6599998</v>
      </c>
      <c r="D13" s="11">
        <v>-6987564827.6599998</v>
      </c>
      <c r="E13" s="11">
        <f t="shared" si="0"/>
        <v>0</v>
      </c>
      <c r="G13" s="27">
        <v>-7155988383.1499996</v>
      </c>
      <c r="H13" s="11">
        <v>-7156068573.9099998</v>
      </c>
      <c r="I13" s="11">
        <f t="shared" si="1"/>
        <v>80190.760000228882</v>
      </c>
      <c r="O13" s="13"/>
    </row>
    <row r="14" spans="1:15">
      <c r="A14" t="s">
        <v>89</v>
      </c>
      <c r="B14" t="s">
        <v>93</v>
      </c>
      <c r="C14" s="27">
        <v>0</v>
      </c>
      <c r="D14" s="11"/>
      <c r="E14" s="11">
        <f t="shared" si="0"/>
        <v>0</v>
      </c>
      <c r="G14" s="27">
        <v>-80191.009999999995</v>
      </c>
      <c r="H14" s="11"/>
      <c r="I14" s="11">
        <f t="shared" si="1"/>
        <v>-80191.009999999995</v>
      </c>
      <c r="O14" s="13"/>
    </row>
    <row r="15" spans="1:15">
      <c r="A15" t="s">
        <v>89</v>
      </c>
      <c r="B15" t="s">
        <v>94</v>
      </c>
      <c r="C15" s="27">
        <v>-97621136</v>
      </c>
      <c r="D15" s="11">
        <f>aruanne!E109</f>
        <v>-97621136</v>
      </c>
      <c r="E15" s="11">
        <f t="shared" si="0"/>
        <v>0</v>
      </c>
      <c r="G15" s="27">
        <v>-79995127</v>
      </c>
      <c r="H15" s="11">
        <f>aruanne!F109</f>
        <v>-79995127</v>
      </c>
      <c r="I15" s="11">
        <f t="shared" si="1"/>
        <v>0</v>
      </c>
      <c r="O15" s="13"/>
    </row>
    <row r="16" spans="1:15">
      <c r="A16" t="s">
        <v>89</v>
      </c>
      <c r="B16" s="14" t="s">
        <v>95</v>
      </c>
      <c r="C16" s="27">
        <v>-7144115.4800000004</v>
      </c>
      <c r="D16" s="11">
        <f>aruanne!E101</f>
        <v>-7144115.4800000004</v>
      </c>
      <c r="E16" s="11">
        <f t="shared" si="0"/>
        <v>0</v>
      </c>
      <c r="F16" s="15"/>
      <c r="G16" s="27">
        <v>-8590211.2799999993</v>
      </c>
      <c r="H16" s="11">
        <f>aruanne!F101</f>
        <v>-8590211.2799999993</v>
      </c>
      <c r="I16" s="11">
        <f t="shared" si="1"/>
        <v>0</v>
      </c>
      <c r="O16" s="13"/>
    </row>
    <row r="17" spans="1:15">
      <c r="A17" t="s">
        <v>89</v>
      </c>
      <c r="B17" s="14" t="s">
        <v>96</v>
      </c>
      <c r="C17" s="27">
        <v>-13759761.49</v>
      </c>
      <c r="D17" s="11">
        <f>aruanne!E102-D18</f>
        <v>-13759761.49</v>
      </c>
      <c r="E17" s="11">
        <f t="shared" si="0"/>
        <v>0</v>
      </c>
      <c r="F17" s="15"/>
      <c r="G17" s="27">
        <v>-15015897.880000001</v>
      </c>
      <c r="H17" s="11">
        <f>aruanne!F102-aruanne!F104</f>
        <v>-15015897.880000001</v>
      </c>
      <c r="I17" s="11">
        <f t="shared" si="1"/>
        <v>0</v>
      </c>
      <c r="O17" s="13"/>
    </row>
    <row r="18" spans="1:15">
      <c r="A18" t="s">
        <v>89</v>
      </c>
      <c r="B18" s="14" t="s">
        <v>97</v>
      </c>
      <c r="C18" s="27">
        <v>-2949615.64</v>
      </c>
      <c r="D18" s="11">
        <f>aruanne!E104</f>
        <v>-2949615.64</v>
      </c>
      <c r="E18" s="11">
        <f t="shared" si="0"/>
        <v>0</v>
      </c>
      <c r="F18" s="15"/>
      <c r="G18" s="27">
        <v>-2983149.1</v>
      </c>
      <c r="H18" s="11">
        <f>aruanne!F104</f>
        <v>-2983149.1</v>
      </c>
      <c r="I18" s="11">
        <f t="shared" si="1"/>
        <v>0</v>
      </c>
      <c r="O18" s="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086A9-CF0E-4B82-AA53-D93B7E26FB31}">
  <dimension ref="A1:C33"/>
  <sheetViews>
    <sheetView topLeftCell="A6" workbookViewId="0">
      <selection activeCell="I23" sqref="I23"/>
    </sheetView>
  </sheetViews>
  <sheetFormatPr defaultRowHeight="14.45"/>
  <cols>
    <col min="1" max="1" width="58.28515625" customWidth="1"/>
    <col min="2" max="2" width="11.5703125" customWidth="1"/>
    <col min="3" max="3" width="14" customWidth="1"/>
  </cols>
  <sheetData>
    <row r="1" spans="1:3">
      <c r="A1" s="7" t="s">
        <v>78</v>
      </c>
      <c r="B1" s="1"/>
    </row>
    <row r="2" spans="1:3">
      <c r="A2" s="7" t="s">
        <v>98</v>
      </c>
      <c r="C2" s="1"/>
    </row>
    <row r="3" spans="1:3">
      <c r="A3" s="17" t="s">
        <v>1</v>
      </c>
      <c r="C3" s="16"/>
    </row>
    <row r="4" spans="1:3">
      <c r="A4" s="7"/>
      <c r="B4" s="8"/>
      <c r="C4" s="8"/>
    </row>
    <row r="5" spans="1:3">
      <c r="A5" s="7"/>
      <c r="B5" s="18">
        <v>16</v>
      </c>
      <c r="C5" s="18">
        <v>16</v>
      </c>
    </row>
    <row r="6" spans="1:3" ht="52.5" customHeight="1">
      <c r="A6" s="64"/>
      <c r="B6" s="68" t="s">
        <v>99</v>
      </c>
      <c r="C6" s="68" t="s">
        <v>100</v>
      </c>
    </row>
    <row r="7" spans="1:3">
      <c r="A7" s="19" t="s">
        <v>101</v>
      </c>
      <c r="B7" s="20">
        <f>aruanne!C5</f>
        <v>74743095</v>
      </c>
      <c r="C7" s="20">
        <f>aruanne!C11+aruanne!C102</f>
        <v>-7228605830</v>
      </c>
    </row>
    <row r="8" spans="1:3">
      <c r="A8" s="19" t="s">
        <v>102</v>
      </c>
      <c r="B8" s="20"/>
      <c r="C8" s="20">
        <v>-47254805</v>
      </c>
    </row>
    <row r="9" spans="1:3">
      <c r="A9" s="19" t="s">
        <v>103</v>
      </c>
      <c r="B9" s="20"/>
      <c r="C9" s="20">
        <v>200000</v>
      </c>
    </row>
    <row r="10" spans="1:3">
      <c r="A10" s="19" t="s">
        <v>104</v>
      </c>
      <c r="B10" s="20"/>
      <c r="C10" s="20">
        <v>13582355</v>
      </c>
    </row>
    <row r="11" spans="1:3">
      <c r="A11" s="19" t="s">
        <v>105</v>
      </c>
      <c r="B11" s="20"/>
      <c r="C11" s="20">
        <v>75361</v>
      </c>
    </row>
    <row r="12" spans="1:3">
      <c r="A12" s="21" t="s">
        <v>106</v>
      </c>
      <c r="B12" s="20"/>
      <c r="C12" s="20">
        <v>-13240737.960000001</v>
      </c>
    </row>
    <row r="13" spans="1:3">
      <c r="A13" s="19" t="s">
        <v>107</v>
      </c>
      <c r="B13" s="20"/>
      <c r="C13" s="20">
        <v>66038953</v>
      </c>
    </row>
    <row r="14" spans="1:3">
      <c r="A14" s="19" t="s">
        <v>108</v>
      </c>
      <c r="B14" s="20"/>
      <c r="C14" s="20">
        <v>-81314516.579999998</v>
      </c>
    </row>
    <row r="15" spans="1:3">
      <c r="A15" s="19" t="s">
        <v>109</v>
      </c>
      <c r="B15" s="20"/>
      <c r="C15" s="20">
        <f>2280597+74588203-66038953</f>
        <v>10829847</v>
      </c>
    </row>
    <row r="16" spans="1:3">
      <c r="A16" s="19" t="s">
        <v>110</v>
      </c>
      <c r="B16" s="20"/>
      <c r="C16" s="20">
        <v>-4948304.41</v>
      </c>
    </row>
    <row r="17" spans="1:3">
      <c r="A17" s="19" t="s">
        <v>111</v>
      </c>
      <c r="B17" s="20"/>
      <c r="C17" s="20">
        <v>176471</v>
      </c>
    </row>
    <row r="18" spans="1:3">
      <c r="A18" s="63" t="s">
        <v>112</v>
      </c>
      <c r="B18" s="20"/>
      <c r="C18" s="20">
        <v>-62769</v>
      </c>
    </row>
    <row r="19" spans="1:3">
      <c r="A19" s="19" t="s">
        <v>113</v>
      </c>
      <c r="B19" s="20"/>
      <c r="C19" s="20">
        <v>7787611</v>
      </c>
    </row>
    <row r="20" spans="1:3">
      <c r="A20" s="19" t="s">
        <v>114</v>
      </c>
      <c r="B20" s="20"/>
      <c r="C20" s="20">
        <v>-6960918.3099999996</v>
      </c>
    </row>
    <row r="21" spans="1:3">
      <c r="A21" s="19" t="s">
        <v>115</v>
      </c>
      <c r="B21" s="20"/>
      <c r="C21" s="20">
        <v>15000</v>
      </c>
    </row>
    <row r="22" spans="1:3">
      <c r="A22" s="22" t="s">
        <v>116</v>
      </c>
      <c r="B22" s="23">
        <f>SUM(B7:B21)</f>
        <v>74743095</v>
      </c>
      <c r="C22" s="23">
        <f>SUM(C7:C21)</f>
        <v>-7283682283.2600002</v>
      </c>
    </row>
    <row r="23" spans="1:3">
      <c r="A23" s="24"/>
      <c r="B23" s="24">
        <f>aruanne!D5</f>
        <v>74743095</v>
      </c>
      <c r="C23" s="24">
        <f>aruanne!D11+aruanne!D102</f>
        <v>-7283682282.9200001</v>
      </c>
    </row>
    <row r="24" spans="1:3">
      <c r="A24" s="24"/>
      <c r="B24" s="24">
        <f t="shared" ref="B24:C24" si="0">B22-B23</f>
        <v>0</v>
      </c>
      <c r="C24" s="24">
        <f t="shared" si="0"/>
        <v>-0.34000015258789063</v>
      </c>
    </row>
    <row r="26" spans="1:3">
      <c r="C26" s="1"/>
    </row>
    <row r="27" spans="1:3" ht="15"/>
    <row r="28" spans="1:3" ht="15"/>
    <row r="29" spans="1:3" ht="15"/>
    <row r="30" spans="1:3" ht="15"/>
    <row r="31" spans="1:3" ht="15"/>
    <row r="32" spans="1:3" ht="15"/>
    <row r="33" ht="1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Juta Maar</dc:creator>
  <cp:keywords/>
  <dc:description/>
  <cp:lastModifiedBy>Lia Hussar - RTK</cp:lastModifiedBy>
  <cp:revision/>
  <dcterms:created xsi:type="dcterms:W3CDTF">2022-02-14T16:37:54Z</dcterms:created>
  <dcterms:modified xsi:type="dcterms:W3CDTF">2025-06-17T14:09:10Z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2025-06-17T13:22:47Z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a7564b8d-7f85-434a-bf56-99c904e2e83a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10, 3, 0, 2</vt:lpwstr>
  </property>
</Properties>
</file>